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800" yWindow="-15" windowWidth="4590" windowHeight="8055" tabRatio="935" activeTab="4"/>
  </bookViews>
  <sheets>
    <sheet name="Info" sheetId="31" r:id="rId1"/>
    <sheet name="AgInputs" sheetId="49" r:id="rId2"/>
    <sheet name="Energy" sheetId="48" r:id="rId3"/>
    <sheet name="GHG" sheetId="44" r:id="rId4"/>
    <sheet name="Crop" sheetId="69" r:id="rId5"/>
  </sheets>
  <definedNames>
    <definedName name="_ENREF_1" localSheetId="2">Energy!$D$8</definedName>
    <definedName name="_ENREF_2" localSheetId="2">Energy!$F$3</definedName>
  </definedNames>
  <calcPr calcId="145621"/>
</workbook>
</file>

<file path=xl/calcChain.xml><?xml version="1.0" encoding="utf-8"?>
<calcChain xmlns="http://schemas.openxmlformats.org/spreadsheetml/2006/main">
  <c r="C102" i="69" l="1"/>
  <c r="C101" i="69"/>
  <c r="E102" i="69"/>
  <c r="F102" i="69"/>
  <c r="G102" i="69"/>
  <c r="H102" i="69"/>
  <c r="I102" i="69"/>
  <c r="J102" i="69"/>
  <c r="K102" i="69"/>
  <c r="L102" i="69"/>
  <c r="M102" i="69"/>
  <c r="N102" i="69"/>
  <c r="O102" i="69"/>
  <c r="P102" i="69"/>
  <c r="Q102" i="69"/>
  <c r="E101" i="69"/>
  <c r="F101" i="69"/>
  <c r="G101" i="69"/>
  <c r="H101" i="69"/>
  <c r="I101" i="69"/>
  <c r="J101" i="69"/>
  <c r="K101" i="69"/>
  <c r="L101" i="69"/>
  <c r="M101" i="69"/>
  <c r="N101" i="69"/>
  <c r="O101" i="69"/>
  <c r="P101" i="69"/>
  <c r="Q101" i="69"/>
  <c r="D102" i="69"/>
  <c r="D101" i="69"/>
  <c r="B842" i="49" l="1"/>
  <c r="B837" i="49"/>
  <c r="B836" i="49"/>
  <c r="B834" i="49"/>
  <c r="B821" i="49"/>
  <c r="B818" i="49" s="1"/>
  <c r="B820" i="49"/>
  <c r="B819" i="49"/>
  <c r="B810" i="49"/>
  <c r="B807" i="49" s="1"/>
  <c r="B809" i="49"/>
  <c r="B808" i="49"/>
  <c r="B788" i="49"/>
  <c r="B781" i="49" s="1"/>
  <c r="B780" i="49"/>
  <c r="B772" i="49"/>
  <c r="B769" i="49" s="1"/>
  <c r="B771" i="49"/>
  <c r="B770" i="49"/>
  <c r="B762" i="49"/>
  <c r="B756" i="49" s="1"/>
  <c r="B744" i="49"/>
  <c r="B740" i="49" s="1"/>
  <c r="B737" i="49" s="1"/>
  <c r="B738" i="49"/>
  <c r="B732" i="49"/>
  <c r="B729" i="49" s="1"/>
  <c r="B731" i="49"/>
  <c r="B730" i="49"/>
  <c r="B723" i="49"/>
  <c r="B722" i="49"/>
  <c r="B719" i="49" s="1"/>
  <c r="B721" i="49"/>
  <c r="B720" i="49"/>
  <c r="B713" i="49"/>
  <c r="B705" i="49" s="1"/>
  <c r="B712" i="49"/>
  <c r="B709" i="49"/>
  <c r="B694" i="49"/>
  <c r="B690" i="49" s="1"/>
  <c r="B687" i="49" s="1"/>
  <c r="B678" i="49"/>
  <c r="B675" i="49" s="1"/>
  <c r="B677" i="49"/>
  <c r="B676" i="49"/>
  <c r="B668" i="49"/>
  <c r="B666" i="49"/>
  <c r="B664" i="49" s="1"/>
  <c r="B661" i="49" s="1"/>
  <c r="B662" i="49"/>
  <c r="B658" i="49"/>
  <c r="B649" i="49"/>
  <c r="B646" i="49" s="1"/>
  <c r="B648" i="49"/>
  <c r="B650" i="49" s="1"/>
  <c r="B647" i="49"/>
  <c r="B636" i="49"/>
  <c r="B633" i="49" s="1"/>
  <c r="B635" i="49"/>
  <c r="B637" i="49" s="1"/>
  <c r="B634" i="49"/>
  <c r="B627" i="49"/>
  <c r="B623" i="49" s="1"/>
  <c r="B625" i="49"/>
  <c r="B622" i="49" s="1"/>
  <c r="B624" i="49"/>
  <c r="B618" i="49"/>
  <c r="B616" i="49"/>
  <c r="B613" i="49" s="1"/>
  <c r="B610" i="49" s="1"/>
  <c r="B611" i="49"/>
  <c r="B593" i="49"/>
  <c r="B589" i="49"/>
  <c r="B583" i="49" s="1"/>
  <c r="B582" i="49"/>
  <c r="B571" i="49"/>
  <c r="B564" i="49" s="1"/>
  <c r="B569" i="49"/>
  <c r="B565" i="49"/>
  <c r="B567" i="49" s="1"/>
  <c r="B559" i="49"/>
  <c r="B549" i="49"/>
  <c r="B547" i="49"/>
  <c r="B544" i="49" s="1"/>
  <c r="B541" i="49" s="1"/>
  <c r="B626" i="49" l="1"/>
  <c r="B566" i="49"/>
  <c r="B563" i="49" s="1"/>
  <c r="B707" i="49"/>
  <c r="B704" i="49" s="1"/>
  <c r="B688" i="49"/>
  <c r="B757" i="49"/>
  <c r="B754" i="49" s="1"/>
  <c r="B811" i="49"/>
  <c r="B542" i="49"/>
  <c r="B679" i="49"/>
  <c r="B783" i="49"/>
  <c r="B543" i="49"/>
  <c r="B585" i="49"/>
  <c r="B733" i="49"/>
  <c r="B755" i="49"/>
  <c r="B758" i="49" s="1"/>
  <c r="B773" i="49"/>
  <c r="B822" i="49"/>
  <c r="B545" i="49"/>
  <c r="B612" i="49"/>
  <c r="B614" i="49" s="1"/>
  <c r="B663" i="49"/>
  <c r="B665" i="49" s="1"/>
  <c r="B689" i="49"/>
  <c r="B691" i="49" s="1"/>
  <c r="B739" i="49"/>
  <c r="B741" i="49" s="1"/>
  <c r="B584" i="49"/>
  <c r="B581" i="49" s="1"/>
  <c r="B706" i="49"/>
  <c r="B708" i="49" s="1"/>
  <c r="B782" i="49"/>
  <c r="B779" i="49" s="1"/>
  <c r="B354" i="48"/>
  <c r="E7" i="69" l="1"/>
  <c r="B35" i="48" l="1"/>
  <c r="B117" i="48" l="1"/>
  <c r="B112" i="48"/>
  <c r="B75" i="48"/>
  <c r="B68" i="48"/>
  <c r="B123" i="48"/>
  <c r="B121" i="48"/>
  <c r="B126" i="48"/>
  <c r="B61" i="48"/>
  <c r="B55" i="48"/>
  <c r="B49" i="48"/>
  <c r="B41" i="48"/>
  <c r="B31" i="48"/>
  <c r="B151" i="48"/>
  <c r="B410" i="48"/>
  <c r="B409" i="48"/>
  <c r="B126" i="44"/>
  <c r="C393" i="48"/>
  <c r="D393" i="48"/>
  <c r="E393" i="48"/>
  <c r="F393" i="48"/>
  <c r="G393" i="48"/>
  <c r="B393" i="48"/>
  <c r="B389" i="48"/>
  <c r="E394" i="48" s="1"/>
  <c r="B26" i="44"/>
  <c r="B32" i="48"/>
  <c r="B22" i="44"/>
  <c r="B394" i="48" l="1"/>
  <c r="D394" i="48"/>
  <c r="G394" i="48"/>
  <c r="C394" i="48"/>
  <c r="F394" i="48"/>
  <c r="B399" i="48"/>
  <c r="B400" i="48"/>
  <c r="B397" i="48" s="1"/>
  <c r="B398" i="48"/>
  <c r="B380" i="48"/>
  <c r="B377" i="48" s="1"/>
  <c r="B379" i="48"/>
  <c r="B378" i="48"/>
  <c r="B381" i="48" l="1"/>
  <c r="B401" i="48"/>
  <c r="B311" i="48" l="1"/>
  <c r="B310" i="48"/>
  <c r="B312" i="48"/>
  <c r="B267" i="48"/>
  <c r="B266" i="48"/>
  <c r="B265" i="48"/>
  <c r="B131" i="48"/>
  <c r="B130" i="48"/>
  <c r="B129" i="48"/>
  <c r="B93" i="48"/>
  <c r="B92" i="48"/>
  <c r="B5" i="48"/>
  <c r="B94" i="48"/>
  <c r="B6" i="48"/>
  <c r="B4" i="48"/>
  <c r="B19" i="44" l="1"/>
  <c r="B10" i="44" s="1"/>
  <c r="B18" i="44"/>
  <c r="B14" i="44"/>
  <c r="B12" i="44" l="1"/>
  <c r="B9" i="44" s="1"/>
  <c r="B11" i="44"/>
  <c r="B13" i="44" s="1"/>
  <c r="B124" i="44"/>
  <c r="B114" i="44" s="1"/>
  <c r="B110" i="44"/>
  <c r="B107" i="44" s="1"/>
  <c r="B104" i="44" s="1"/>
  <c r="B101" i="44"/>
  <c r="B98" i="44"/>
  <c r="B56" i="44"/>
  <c r="B54" i="44"/>
  <c r="B53" i="44"/>
  <c r="B46" i="44"/>
  <c r="B45" i="44"/>
  <c r="B43" i="44"/>
  <c r="B36" i="44"/>
  <c r="B33" i="44"/>
  <c r="B341" i="48"/>
  <c r="B338" i="48" s="1"/>
  <c r="B340" i="48"/>
  <c r="B339" i="48"/>
  <c r="B309" i="48"/>
  <c r="B264" i="48"/>
  <c r="B253" i="48"/>
  <c r="B250" i="48" s="1"/>
  <c r="B252" i="48"/>
  <c r="B251" i="48"/>
  <c r="B245" i="48"/>
  <c r="B242" i="48" s="1"/>
  <c r="B244" i="48"/>
  <c r="B243" i="48"/>
  <c r="B236" i="48"/>
  <c r="B233" i="48" s="1"/>
  <c r="B235" i="48"/>
  <c r="B234" i="48"/>
  <c r="B226" i="48"/>
  <c r="B223" i="48" s="1"/>
  <c r="B225" i="48"/>
  <c r="B224" i="48"/>
  <c r="B215" i="48"/>
  <c r="B212" i="48" s="1"/>
  <c r="B214" i="48"/>
  <c r="B213" i="48"/>
  <c r="B205" i="48"/>
  <c r="B202" i="48" s="1"/>
  <c r="B204" i="48"/>
  <c r="B203" i="48"/>
  <c r="B195" i="48"/>
  <c r="B192" i="48" s="1"/>
  <c r="B194" i="48"/>
  <c r="B193" i="48"/>
  <c r="B182" i="48"/>
  <c r="B179" i="48" s="1"/>
  <c r="B181" i="48"/>
  <c r="B180" i="48"/>
  <c r="B172" i="48"/>
  <c r="B169" i="48" s="1"/>
  <c r="B171" i="48"/>
  <c r="B170" i="48"/>
  <c r="B162" i="48"/>
  <c r="B159" i="48" s="1"/>
  <c r="B161" i="48"/>
  <c r="B160" i="48"/>
  <c r="B128" i="48"/>
  <c r="B91" i="48"/>
  <c r="B3" i="48"/>
  <c r="B533" i="49"/>
  <c r="B530" i="49" s="1"/>
  <c r="B532" i="49"/>
  <c r="B531" i="49"/>
  <c r="B525" i="49"/>
  <c r="B523" i="49" s="1"/>
  <c r="B520" i="49" s="1"/>
  <c r="B521" i="49"/>
  <c r="B514" i="49"/>
  <c r="B511" i="49" s="1"/>
  <c r="B513" i="49"/>
  <c r="B512" i="49"/>
  <c r="B505" i="49"/>
  <c r="B502" i="49" s="1"/>
  <c r="B504" i="49"/>
  <c r="B506" i="49" s="1"/>
  <c r="B503" i="49"/>
  <c r="B493" i="49"/>
  <c r="B490" i="49" s="1"/>
  <c r="B492" i="49"/>
  <c r="B491" i="49"/>
  <c r="B484" i="49"/>
  <c r="B481" i="49" s="1"/>
  <c r="B483" i="49"/>
  <c r="B482" i="49"/>
  <c r="B436" i="49"/>
  <c r="B433" i="49" s="1"/>
  <c r="B435" i="49"/>
  <c r="B434" i="49"/>
  <c r="B422" i="49"/>
  <c r="B419" i="49" s="1"/>
  <c r="B421" i="49"/>
  <c r="B420" i="49"/>
  <c r="B412" i="49"/>
  <c r="B409" i="49" s="1"/>
  <c r="B411" i="49"/>
  <c r="B410" i="49"/>
  <c r="B373" i="49"/>
  <c r="B374" i="49"/>
  <c r="B375" i="49"/>
  <c r="B372" i="49" s="1"/>
  <c r="B367" i="49"/>
  <c r="B364" i="49" s="1"/>
  <c r="B366" i="49"/>
  <c r="B365" i="49"/>
  <c r="B359" i="49"/>
  <c r="B349" i="49" s="1"/>
  <c r="B334" i="49"/>
  <c r="B333" i="49"/>
  <c r="B324" i="49"/>
  <c r="B323" i="49"/>
  <c r="B322" i="49"/>
  <c r="B311" i="49"/>
  <c r="B307" i="49" s="1"/>
  <c r="B304" i="49" s="1"/>
  <c r="B302" i="49"/>
  <c r="B297" i="49" s="1"/>
  <c r="B296" i="49"/>
  <c r="B291" i="49"/>
  <c r="B290" i="49"/>
  <c r="B289" i="49"/>
  <c r="B280" i="49"/>
  <c r="B277" i="49" s="1"/>
  <c r="B274" i="49" s="1"/>
  <c r="B272" i="49"/>
  <c r="B271" i="49"/>
  <c r="B259" i="49"/>
  <c r="B257" i="49"/>
  <c r="B253" i="49" s="1"/>
  <c r="B241" i="49"/>
  <c r="B238" i="49" s="1"/>
  <c r="B240" i="49"/>
  <c r="B239" i="49"/>
  <c r="B219" i="49"/>
  <c r="B216" i="49" s="1"/>
  <c r="B218" i="49"/>
  <c r="B217" i="49"/>
  <c r="B209" i="49"/>
  <c r="B206" i="49" s="1"/>
  <c r="B208" i="49"/>
  <c r="B207" i="49"/>
  <c r="B197" i="49"/>
  <c r="B194" i="49" s="1"/>
  <c r="B196" i="49"/>
  <c r="B195" i="49"/>
  <c r="B192" i="49"/>
  <c r="B190" i="49"/>
  <c r="B183" i="49"/>
  <c r="B181" i="49"/>
  <c r="B174" i="49"/>
  <c r="B172" i="49"/>
  <c r="B155" i="49"/>
  <c r="B152" i="49" s="1"/>
  <c r="B154" i="49"/>
  <c r="B153" i="49"/>
  <c r="B144" i="49"/>
  <c r="B141" i="49" s="1"/>
  <c r="B143" i="49"/>
  <c r="B142" i="49"/>
  <c r="B133" i="49"/>
  <c r="B130" i="49" s="1"/>
  <c r="B132" i="49"/>
  <c r="B131" i="49"/>
  <c r="B116" i="44" l="1"/>
  <c r="B113" i="44" s="1"/>
  <c r="B376" i="49"/>
  <c r="B515" i="49"/>
  <c r="B494" i="49"/>
  <c r="B423" i="49"/>
  <c r="B534" i="49"/>
  <c r="B170" i="49"/>
  <c r="B167" i="49" s="1"/>
  <c r="B264" i="49"/>
  <c r="B261" i="49" s="1"/>
  <c r="B413" i="49"/>
  <c r="B437" i="49"/>
  <c r="B319" i="49"/>
  <c r="B95" i="44"/>
  <c r="B96" i="44"/>
  <c r="B93" i="44" s="1"/>
  <c r="B115" i="44"/>
  <c r="B117" i="44" s="1"/>
  <c r="B186" i="49"/>
  <c r="B156" i="49"/>
  <c r="B179" i="49"/>
  <c r="B176" i="49" s="1"/>
  <c r="B330" i="49"/>
  <c r="B134" i="49"/>
  <c r="B242" i="49"/>
  <c r="B252" i="49"/>
  <c r="B255" i="49" s="1"/>
  <c r="B284" i="49"/>
  <c r="B298" i="49"/>
  <c r="B295" i="49" s="1"/>
  <c r="B145" i="49"/>
  <c r="B299" i="49"/>
  <c r="B329" i="49"/>
  <c r="B332" i="49" s="1"/>
  <c r="B168" i="49"/>
  <c r="B177" i="49"/>
  <c r="B187" i="49"/>
  <c r="B348" i="49"/>
  <c r="B351" i="49" s="1"/>
  <c r="B169" i="49"/>
  <c r="B171" i="49" s="1"/>
  <c r="B178" i="49"/>
  <c r="B198" i="49"/>
  <c r="B210" i="49"/>
  <c r="B220" i="49"/>
  <c r="B262" i="49"/>
  <c r="B283" i="49"/>
  <c r="B318" i="49"/>
  <c r="B321" i="49" s="1"/>
  <c r="B350" i="49"/>
  <c r="B347" i="49" s="1"/>
  <c r="B368" i="49"/>
  <c r="B485" i="49"/>
  <c r="B342" i="48"/>
  <c r="B94" i="44"/>
  <c r="B97" i="44" s="1"/>
  <c r="B105" i="44"/>
  <c r="B106" i="44"/>
  <c r="B51" i="44"/>
  <c r="B48" i="44" s="1"/>
  <c r="B40" i="44"/>
  <c r="B29" i="44"/>
  <c r="B39" i="44"/>
  <c r="B49" i="44"/>
  <c r="B50" i="44"/>
  <c r="B41" i="44"/>
  <c r="B38" i="44" s="1"/>
  <c r="B30" i="44"/>
  <c r="B31" i="44"/>
  <c r="B28" i="44" s="1"/>
  <c r="B227" i="48"/>
  <c r="B313" i="48"/>
  <c r="B268" i="48"/>
  <c r="B196" i="48"/>
  <c r="B206" i="48"/>
  <c r="B216" i="48"/>
  <c r="B237" i="48"/>
  <c r="B246" i="48"/>
  <c r="B254" i="48"/>
  <c r="B183" i="48"/>
  <c r="B163" i="48"/>
  <c r="B173" i="48"/>
  <c r="B132" i="48"/>
  <c r="B95" i="48"/>
  <c r="B7" i="48"/>
  <c r="B522" i="49"/>
  <c r="B524" i="49" s="1"/>
  <c r="B331" i="49"/>
  <c r="B328" i="49" s="1"/>
  <c r="B320" i="49"/>
  <c r="B317" i="49" s="1"/>
  <c r="B305" i="49"/>
  <c r="B306" i="49"/>
  <c r="B285" i="49"/>
  <c r="B282" i="49" s="1"/>
  <c r="B275" i="49"/>
  <c r="B276" i="49"/>
  <c r="B278" i="49" s="1"/>
  <c r="B263" i="49"/>
  <c r="B254" i="49"/>
  <c r="B251" i="49" s="1"/>
  <c r="B188" i="49"/>
  <c r="B185" i="49" s="1"/>
  <c r="B132" i="44"/>
  <c r="B180" i="49" l="1"/>
  <c r="B286" i="49"/>
  <c r="B42" i="44"/>
  <c r="B265" i="49"/>
  <c r="B189" i="49"/>
  <c r="B108" i="44"/>
  <c r="B32" i="44"/>
  <c r="B52" i="44"/>
  <c r="B308" i="49"/>
  <c r="B445" i="49"/>
  <c r="B402" i="49"/>
  <c r="B399" i="49" s="1"/>
  <c r="B401" i="49"/>
  <c r="B400" i="49"/>
  <c r="B395" i="49"/>
  <c r="B393" i="49" s="1"/>
  <c r="B390" i="49" s="1"/>
  <c r="B342" i="49"/>
  <c r="B339" i="49" s="1"/>
  <c r="B341" i="49"/>
  <c r="B340" i="49"/>
  <c r="B293" i="49"/>
  <c r="B236" i="49"/>
  <c r="B232" i="49" s="1"/>
  <c r="B165" i="49"/>
  <c r="B164" i="49"/>
  <c r="B163" i="49"/>
  <c r="B128" i="49"/>
  <c r="B127" i="49"/>
  <c r="B126" i="49"/>
  <c r="B124" i="49"/>
  <c r="B123" i="49"/>
  <c r="B120" i="49"/>
  <c r="B119" i="49"/>
  <c r="B118" i="49"/>
  <c r="B116" i="49"/>
  <c r="B115" i="49"/>
  <c r="B112" i="49"/>
  <c r="B111" i="49"/>
  <c r="B108" i="49"/>
  <c r="B107" i="49"/>
  <c r="B106" i="49"/>
  <c r="B104" i="49"/>
  <c r="B103" i="49"/>
  <c r="B102" i="49"/>
  <c r="B100" i="49"/>
  <c r="B99" i="49"/>
  <c r="B98" i="49"/>
  <c r="B96" i="49"/>
  <c r="B95" i="49"/>
  <c r="B94" i="49"/>
  <c r="B70" i="49"/>
  <c r="B60" i="49" s="1"/>
  <c r="B57" i="49" s="1"/>
  <c r="B54" i="49"/>
  <c r="B46" i="49"/>
  <c r="B43" i="49"/>
  <c r="B27" i="49"/>
  <c r="B24" i="49" s="1"/>
  <c r="B26" i="49"/>
  <c r="B25" i="49"/>
  <c r="B231" i="49" l="1"/>
  <c r="B234" i="49" s="1"/>
  <c r="B28" i="49"/>
  <c r="B58" i="49"/>
  <c r="B40" i="49"/>
  <c r="B39" i="49"/>
  <c r="B343" i="49"/>
  <c r="B403" i="49"/>
  <c r="B391" i="49" s="1"/>
  <c r="B59" i="49"/>
  <c r="B55" i="49"/>
  <c r="B233" i="49"/>
  <c r="B230" i="49" s="1"/>
  <c r="B392" i="49"/>
  <c r="B41" i="49"/>
  <c r="B38" i="49" s="1"/>
  <c r="B61" i="49" l="1"/>
  <c r="B42" i="49"/>
  <c r="B394" i="49"/>
  <c r="Q19" i="69" l="1"/>
  <c r="P19" i="69"/>
  <c r="O19" i="69"/>
  <c r="N19" i="69"/>
  <c r="M19" i="69"/>
  <c r="L19" i="69"/>
  <c r="K19" i="69"/>
  <c r="J19" i="69"/>
  <c r="I19" i="69"/>
  <c r="H19" i="69"/>
  <c r="G19" i="69"/>
  <c r="F19" i="69"/>
  <c r="E19" i="69"/>
  <c r="D19" i="69"/>
  <c r="C19" i="69"/>
  <c r="I17" i="69"/>
  <c r="O16" i="69"/>
  <c r="M16" i="69"/>
  <c r="O15" i="69"/>
  <c r="N15" i="69"/>
  <c r="K15" i="69"/>
  <c r="Q13" i="69"/>
  <c r="P13" i="69"/>
  <c r="O13" i="69"/>
  <c r="N13" i="69"/>
  <c r="M13" i="69"/>
  <c r="L13" i="69"/>
  <c r="K13" i="69"/>
  <c r="J13" i="69"/>
  <c r="I13" i="69"/>
  <c r="H13" i="69"/>
  <c r="G13" i="69"/>
  <c r="F13" i="69"/>
  <c r="E13" i="69"/>
  <c r="D13" i="69"/>
  <c r="C13" i="69"/>
  <c r="L10" i="69"/>
  <c r="J10" i="69"/>
  <c r="I10" i="69"/>
  <c r="L9" i="69"/>
  <c r="K9" i="69"/>
  <c r="G9" i="69"/>
  <c r="D9" i="69"/>
  <c r="C9" i="69"/>
  <c r="Q8" i="69"/>
  <c r="P8" i="69"/>
  <c r="O8" i="69"/>
  <c r="N8" i="69"/>
  <c r="M8" i="69"/>
  <c r="J8" i="69"/>
  <c r="I8" i="69"/>
  <c r="H8" i="69"/>
  <c r="F8" i="69"/>
  <c r="E8" i="69"/>
  <c r="O7" i="69"/>
  <c r="O21" i="69" s="1"/>
  <c r="M7" i="69"/>
  <c r="M20" i="69" s="1"/>
  <c r="L7" i="69"/>
  <c r="L20" i="69" s="1"/>
  <c r="K7" i="69"/>
  <c r="K20" i="69" s="1"/>
  <c r="J7" i="69"/>
  <c r="J21" i="69" s="1"/>
  <c r="I7" i="69"/>
  <c r="I21" i="69" s="1"/>
  <c r="H7" i="69"/>
  <c r="H20" i="69" s="1"/>
  <c r="H21" i="69" s="1"/>
  <c r="G7" i="69"/>
  <c r="G20" i="69" s="1"/>
  <c r="F7" i="69"/>
  <c r="F20" i="69" s="1"/>
  <c r="F21" i="69" s="1"/>
  <c r="E20" i="69"/>
  <c r="E21" i="69" s="1"/>
  <c r="D7" i="69"/>
  <c r="D20" i="69" s="1"/>
  <c r="C7" i="69"/>
  <c r="C20" i="69" s="1"/>
  <c r="C21" i="69" s="1"/>
  <c r="Q97" i="69"/>
  <c r="P97" i="69"/>
  <c r="O97" i="69"/>
  <c r="N97" i="69"/>
  <c r="M97" i="69"/>
  <c r="L97" i="69"/>
  <c r="K97" i="69"/>
  <c r="J97" i="69"/>
  <c r="I97" i="69"/>
  <c r="H97" i="69"/>
  <c r="G97" i="69"/>
  <c r="F97" i="69"/>
  <c r="E97" i="69"/>
  <c r="C97" i="69"/>
  <c r="N96" i="69"/>
  <c r="M96" i="69"/>
  <c r="P41" i="69"/>
  <c r="P96" i="69" s="1"/>
  <c r="O41" i="69"/>
  <c r="O96" i="69" s="1"/>
  <c r="J41" i="69"/>
  <c r="J96" i="69" s="1"/>
  <c r="I41" i="69"/>
  <c r="I96" i="69" s="1"/>
  <c r="H41" i="69"/>
  <c r="H96" i="69" s="1"/>
  <c r="F41" i="69"/>
  <c r="F96" i="69" s="1"/>
  <c r="E41" i="69"/>
  <c r="E96" i="69" s="1"/>
  <c r="N38" i="69"/>
  <c r="Q31" i="69"/>
  <c r="O31" i="69"/>
  <c r="N31" i="69"/>
  <c r="M31" i="69"/>
  <c r="L31" i="69"/>
  <c r="K31" i="69"/>
  <c r="J31" i="69"/>
  <c r="I31" i="69"/>
  <c r="H31" i="69"/>
  <c r="F31" i="69"/>
  <c r="E31" i="69"/>
  <c r="D31" i="69"/>
  <c r="C31" i="69"/>
  <c r="R64" i="44"/>
  <c r="Q64" i="44"/>
  <c r="B90" i="44"/>
  <c r="D21" i="69" l="1"/>
  <c r="M21" i="69"/>
  <c r="I20" i="69"/>
  <c r="O20" i="69"/>
  <c r="G21" i="69"/>
  <c r="K21" i="69"/>
  <c r="J20" i="69"/>
  <c r="Q12" i="69"/>
  <c r="Q11" i="69"/>
  <c r="Q10" i="69"/>
  <c r="L21" i="69"/>
  <c r="K38" i="69"/>
  <c r="Q14" i="69" l="1"/>
  <c r="P14" i="69"/>
  <c r="Q91" i="69"/>
  <c r="Q37" i="69"/>
  <c r="P91" i="69"/>
  <c r="P37" i="69"/>
  <c r="B76" i="44"/>
  <c r="W22" i="69" l="1"/>
  <c r="V22" i="69"/>
  <c r="U22" i="69"/>
  <c r="T22" i="69"/>
  <c r="W17" i="69"/>
  <c r="V17" i="69"/>
  <c r="U17" i="69"/>
  <c r="T17" i="69"/>
  <c r="W9" i="69"/>
  <c r="V9" i="69"/>
  <c r="U9" i="69"/>
  <c r="T9" i="69"/>
  <c r="R5" i="69"/>
  <c r="Q17" i="69" l="1"/>
  <c r="F25" i="69"/>
  <c r="AA34" i="69" s="1"/>
  <c r="AC34" i="69" s="1"/>
  <c r="BK31" i="69" s="1"/>
  <c r="H25" i="69"/>
  <c r="AA36" i="69" s="1"/>
  <c r="AC36" i="69" s="1"/>
  <c r="BM31" i="69" s="1"/>
  <c r="O25" i="69"/>
  <c r="AA43" i="69" s="1"/>
  <c r="AC43" i="69" s="1"/>
  <c r="BT31" i="69" s="1"/>
  <c r="T20" i="69"/>
  <c r="T21" i="69" s="1"/>
  <c r="E25" i="69"/>
  <c r="AA33" i="69" s="1"/>
  <c r="AC33" i="69" s="1"/>
  <c r="BJ31" i="69" s="1"/>
  <c r="U20" i="69"/>
  <c r="U21" i="69" s="1"/>
  <c r="I25" i="69"/>
  <c r="AA37" i="69" s="1"/>
  <c r="AC37" i="69" s="1"/>
  <c r="BN31" i="69" s="1"/>
  <c r="O11" i="69" l="1"/>
  <c r="M17" i="69"/>
  <c r="O12" i="69"/>
  <c r="P15" i="69"/>
  <c r="O10" i="69"/>
  <c r="P16" i="69"/>
  <c r="N17" i="69"/>
  <c r="W20" i="69"/>
  <c r="W21" i="69" s="1"/>
  <c r="W25" i="69" s="1"/>
  <c r="AA49" i="69" s="1"/>
  <c r="AC49" i="69" s="1"/>
  <c r="BZ31" i="69" s="1"/>
  <c r="M25" i="69"/>
  <c r="AA41" i="69" s="1"/>
  <c r="AC41" i="69" s="1"/>
  <c r="BR31" i="69" s="1"/>
  <c r="L25" i="69"/>
  <c r="AA40" i="69" s="1"/>
  <c r="AC40" i="69" s="1"/>
  <c r="BQ31" i="69" s="1"/>
  <c r="K25" i="69"/>
  <c r="AA39" i="69" s="1"/>
  <c r="AC39" i="69" s="1"/>
  <c r="BP31" i="69" s="1"/>
  <c r="V20" i="69"/>
  <c r="V21" i="69" s="1"/>
  <c r="V25" i="69" s="1"/>
  <c r="AA48" i="69" s="1"/>
  <c r="AC48" i="69" s="1"/>
  <c r="BY31" i="69" s="1"/>
  <c r="U25" i="69"/>
  <c r="AA47" i="69" s="1"/>
  <c r="AC47" i="69" s="1"/>
  <c r="BX31" i="69" s="1"/>
  <c r="T25" i="69"/>
  <c r="AA46" i="69" s="1"/>
  <c r="AC46" i="69" s="1"/>
  <c r="BW31" i="69" s="1"/>
  <c r="P10" i="69" l="1"/>
  <c r="P7" i="69"/>
  <c r="P21" i="69" s="1"/>
  <c r="P20" i="69" s="1"/>
  <c r="P11" i="69"/>
  <c r="D25" i="69"/>
  <c r="AA32" i="69" s="1"/>
  <c r="AC32" i="69" s="1"/>
  <c r="BI31" i="69" s="1"/>
  <c r="C25" i="69"/>
  <c r="AA31" i="69" s="1"/>
  <c r="G25" i="69"/>
  <c r="AA35" i="69" s="1"/>
  <c r="AC35" i="69" s="1"/>
  <c r="BL31" i="69" s="1"/>
  <c r="B365" i="48"/>
  <c r="B372" i="48"/>
  <c r="J25" i="69" l="1"/>
  <c r="AA38" i="69" s="1"/>
  <c r="AC38" i="69" s="1"/>
  <c r="BO31" i="69" s="1"/>
  <c r="P25" i="69"/>
  <c r="AA44" i="69" s="1"/>
  <c r="AC44" i="69" s="1"/>
  <c r="BU31" i="69" s="1"/>
  <c r="AC31" i="69"/>
  <c r="P17" i="69" l="1"/>
  <c r="BH31" i="69"/>
  <c r="K12" i="69" l="1"/>
  <c r="M12" i="69"/>
  <c r="K10" i="69"/>
  <c r="M10" i="69"/>
  <c r="K11" i="69"/>
  <c r="M11" i="69"/>
  <c r="K14" i="69"/>
  <c r="K17" i="69"/>
  <c r="D10" i="69" l="1"/>
  <c r="G12" i="69"/>
  <c r="H12" i="69"/>
  <c r="F12" i="69"/>
  <c r="E10" i="69"/>
  <c r="H10" i="69"/>
  <c r="F10" i="69"/>
  <c r="D11" i="69"/>
  <c r="F11" i="69"/>
  <c r="H11" i="69"/>
  <c r="G11" i="69"/>
  <c r="D12" i="69"/>
  <c r="L12" i="69"/>
  <c r="L11" i="69"/>
  <c r="K42" i="69"/>
  <c r="D97" i="69" l="1"/>
  <c r="B97" i="69" s="1"/>
  <c r="B221" i="48" l="1"/>
  <c r="B334" i="48"/>
  <c r="F15" i="69" l="1"/>
  <c r="H15" i="69"/>
  <c r="G15" i="69"/>
  <c r="C15" i="69"/>
  <c r="N12" i="69"/>
  <c r="J11" i="69"/>
  <c r="E12" i="69"/>
  <c r="L18" i="69"/>
  <c r="C18" i="69"/>
  <c r="C41" i="69" s="1"/>
  <c r="C96" i="69" s="1"/>
  <c r="D18" i="69"/>
  <c r="D41" i="69" s="1"/>
  <c r="D96" i="69" s="1"/>
  <c r="K18" i="69"/>
  <c r="K41" i="69" s="1"/>
  <c r="K96" i="69" s="1"/>
  <c r="G18" i="69"/>
  <c r="G41" i="69" s="1"/>
  <c r="G96" i="69" s="1"/>
  <c r="N7" i="69"/>
  <c r="N21" i="69" s="1"/>
  <c r="N20" i="69" s="1"/>
  <c r="M15" i="69"/>
  <c r="I12" i="69"/>
  <c r="C12" i="69"/>
  <c r="E11" i="69"/>
  <c r="E14" i="69"/>
  <c r="D14" i="69"/>
  <c r="M14" i="69"/>
  <c r="L17" i="69"/>
  <c r="G17" i="69"/>
  <c r="C17" i="69"/>
  <c r="E17" i="69"/>
  <c r="J17" i="69"/>
  <c r="D17" i="69"/>
  <c r="H17" i="69"/>
  <c r="F17" i="69"/>
  <c r="O17" i="69"/>
  <c r="L16" i="69"/>
  <c r="N10" i="69"/>
  <c r="I11" i="69"/>
  <c r="C11" i="69"/>
  <c r="L15" i="69"/>
  <c r="G16" i="69"/>
  <c r="C16" i="69"/>
  <c r="H16" i="69"/>
  <c r="F16" i="69"/>
  <c r="N11" i="69"/>
  <c r="J12" i="69"/>
  <c r="G10" i="69"/>
  <c r="C10" i="69"/>
  <c r="N93" i="69"/>
  <c r="J93" i="69"/>
  <c r="Q93" i="69"/>
  <c r="K93" i="69"/>
  <c r="I93" i="69"/>
  <c r="O93" i="69"/>
  <c r="M93" i="69"/>
  <c r="P93" i="69"/>
  <c r="K37" i="69"/>
  <c r="I40" i="69"/>
  <c r="Q40" i="69"/>
  <c r="N40" i="69"/>
  <c r="M40" i="69"/>
  <c r="P40" i="69"/>
  <c r="K40" i="69"/>
  <c r="C36" i="69"/>
  <c r="E36" i="69"/>
  <c r="G36" i="69"/>
  <c r="K36" i="69"/>
  <c r="M36" i="69"/>
  <c r="O36" i="69"/>
  <c r="Q36" i="69"/>
  <c r="D36" i="69"/>
  <c r="F36" i="69"/>
  <c r="H36" i="69"/>
  <c r="J36" i="69"/>
  <c r="L36" i="69"/>
  <c r="N36" i="69"/>
  <c r="P36" i="69"/>
  <c r="I36" i="69"/>
  <c r="L14" i="69" l="1"/>
  <c r="L22" i="69" s="1"/>
  <c r="I14" i="69"/>
  <c r="I42" i="69" s="1"/>
  <c r="E16" i="69"/>
  <c r="D16" i="69"/>
  <c r="C14" i="69"/>
  <c r="C22" i="69" s="1"/>
  <c r="J14" i="69"/>
  <c r="J22" i="69" s="1"/>
  <c r="K22" i="69"/>
  <c r="M22" i="69"/>
  <c r="D15" i="69"/>
  <c r="E15" i="69"/>
  <c r="F14" i="69"/>
  <c r="F22" i="69" s="1"/>
  <c r="O14" i="69"/>
  <c r="O22" i="69" s="1"/>
  <c r="G14" i="69"/>
  <c r="G22" i="69" s="1"/>
  <c r="H14" i="69"/>
  <c r="H22" i="69" s="1"/>
  <c r="L41" i="69"/>
  <c r="L96" i="69" s="1"/>
  <c r="B96" i="69" s="1"/>
  <c r="BF87" i="69" s="1"/>
  <c r="K39" i="69"/>
  <c r="I39" i="69"/>
  <c r="N39" i="69"/>
  <c r="J39" i="69"/>
  <c r="O39" i="69"/>
  <c r="M39" i="69"/>
  <c r="P39" i="69"/>
  <c r="Q34" i="69"/>
  <c r="O34" i="69"/>
  <c r="P34" i="69"/>
  <c r="M34" i="69"/>
  <c r="K34" i="69"/>
  <c r="F34" i="69"/>
  <c r="H34" i="69"/>
  <c r="G34" i="69"/>
  <c r="L34" i="69"/>
  <c r="D34" i="69"/>
  <c r="J38" i="69"/>
  <c r="I38" i="69"/>
  <c r="O38" i="69"/>
  <c r="P38" i="69"/>
  <c r="L33" i="69"/>
  <c r="J33" i="69"/>
  <c r="I33" i="69"/>
  <c r="Q33" i="69"/>
  <c r="O33" i="69"/>
  <c r="P33" i="69"/>
  <c r="K33" i="69"/>
  <c r="M33" i="69"/>
  <c r="E33" i="69"/>
  <c r="D33" i="69"/>
  <c r="H33" i="69"/>
  <c r="F33" i="69"/>
  <c r="Q35" i="69"/>
  <c r="O35" i="69"/>
  <c r="K35" i="69"/>
  <c r="M35" i="69"/>
  <c r="D35" i="69"/>
  <c r="G35" i="69"/>
  <c r="L35" i="69"/>
  <c r="F35" i="69"/>
  <c r="H35" i="69"/>
  <c r="L93" i="69"/>
  <c r="L39" i="69"/>
  <c r="H38" i="69"/>
  <c r="G38" i="69"/>
  <c r="F40" i="69"/>
  <c r="J40" i="69"/>
  <c r="C40" i="69"/>
  <c r="B17" i="69"/>
  <c r="G40" i="69"/>
  <c r="E37" i="69"/>
  <c r="H93" i="69"/>
  <c r="H39" i="69"/>
  <c r="G39" i="69"/>
  <c r="G93" i="69"/>
  <c r="M38" i="69"/>
  <c r="F38" i="69"/>
  <c r="C38" i="69"/>
  <c r="O40" i="69"/>
  <c r="D40" i="69"/>
  <c r="H40" i="69"/>
  <c r="E40" i="69"/>
  <c r="L40" i="69"/>
  <c r="M37" i="69"/>
  <c r="M42" i="69"/>
  <c r="D37" i="69"/>
  <c r="F93" i="69"/>
  <c r="F39" i="69"/>
  <c r="C39" i="69"/>
  <c r="C93" i="69"/>
  <c r="L38" i="69"/>
  <c r="E34" i="69"/>
  <c r="C33" i="69"/>
  <c r="C35" i="69"/>
  <c r="I35" i="69"/>
  <c r="N34" i="69"/>
  <c r="N25" i="69"/>
  <c r="C34" i="69"/>
  <c r="I34" i="69"/>
  <c r="N33" i="69"/>
  <c r="N35" i="69"/>
  <c r="G33" i="69"/>
  <c r="J35" i="69"/>
  <c r="E35" i="69"/>
  <c r="J34" i="69"/>
  <c r="R36" i="69"/>
  <c r="S36" i="69" s="1"/>
  <c r="BA30" i="69" s="1"/>
  <c r="C42" i="69" l="1"/>
  <c r="D42" i="69"/>
  <c r="E42" i="69"/>
  <c r="G42" i="69"/>
  <c r="J42" i="69"/>
  <c r="D22" i="69"/>
  <c r="E22" i="69"/>
  <c r="I22" i="69"/>
  <c r="R41" i="69"/>
  <c r="S41" i="69" s="1"/>
  <c r="BF30" i="69" s="1"/>
  <c r="R40" i="69"/>
  <c r="S40" i="69" s="1"/>
  <c r="BE30" i="69" s="1"/>
  <c r="D38" i="69"/>
  <c r="E38" i="69"/>
  <c r="D93" i="69"/>
  <c r="D39" i="69"/>
  <c r="G37" i="69"/>
  <c r="H37" i="69"/>
  <c r="H42" i="69"/>
  <c r="J37" i="69"/>
  <c r="F37" i="69"/>
  <c r="F42" i="69"/>
  <c r="L37" i="69"/>
  <c r="L42" i="69"/>
  <c r="E39" i="69"/>
  <c r="E93" i="69"/>
  <c r="I37" i="69"/>
  <c r="C37" i="69"/>
  <c r="O37" i="69"/>
  <c r="O91" i="69"/>
  <c r="O42" i="69"/>
  <c r="R34" i="69"/>
  <c r="S34" i="69" s="1"/>
  <c r="AY30" i="69" s="1"/>
  <c r="AA42" i="69"/>
  <c r="R33" i="69"/>
  <c r="S33" i="69" s="1"/>
  <c r="AX30" i="69" s="1"/>
  <c r="R39" i="69" l="1"/>
  <c r="S39" i="69" s="1"/>
  <c r="BD30" i="69" s="1"/>
  <c r="B93" i="69"/>
  <c r="BD87" i="69" s="1"/>
  <c r="AC42" i="69"/>
  <c r="BS31" i="69" l="1"/>
  <c r="BH87" i="69"/>
  <c r="I94" i="69" l="1"/>
  <c r="Q94" i="69"/>
  <c r="N94" i="69"/>
  <c r="M94" i="69"/>
  <c r="P94" i="69"/>
  <c r="K94" i="69"/>
  <c r="F94" i="69"/>
  <c r="J94" i="69"/>
  <c r="C94" i="69"/>
  <c r="O94" i="69"/>
  <c r="D94" i="69"/>
  <c r="H94" i="69"/>
  <c r="L94" i="69"/>
  <c r="G94" i="69"/>
  <c r="E94" i="69"/>
  <c r="B94" i="69" l="1"/>
  <c r="BE87" i="69" s="1"/>
  <c r="B84" i="44"/>
  <c r="B83" i="44"/>
  <c r="J91" i="69" l="1"/>
  <c r="I91" i="69"/>
  <c r="B88" i="44"/>
  <c r="B85" i="44"/>
  <c r="K91" i="69" l="1"/>
  <c r="E90" i="69" l="1"/>
  <c r="K90" i="69"/>
  <c r="O90" i="69"/>
  <c r="D90" i="69"/>
  <c r="H90" i="69"/>
  <c r="L90" i="69"/>
  <c r="P90" i="69"/>
  <c r="C90" i="69"/>
  <c r="G90" i="69"/>
  <c r="M90" i="69"/>
  <c r="Q90" i="69"/>
  <c r="F90" i="69"/>
  <c r="J90" i="69"/>
  <c r="N90" i="69"/>
  <c r="I90" i="69"/>
  <c r="B128" i="44"/>
  <c r="B87" i="44"/>
  <c r="Q88" i="69" l="1"/>
  <c r="O88" i="69"/>
  <c r="P88" i="69"/>
  <c r="M88" i="69"/>
  <c r="K88" i="69"/>
  <c r="H88" i="69"/>
  <c r="L88" i="69"/>
  <c r="D88" i="69"/>
  <c r="F88" i="69"/>
  <c r="G88" i="69"/>
  <c r="E88" i="69"/>
  <c r="N88" i="69"/>
  <c r="I88" i="69"/>
  <c r="C88" i="69"/>
  <c r="J88" i="69"/>
  <c r="J92" i="69"/>
  <c r="I92" i="69"/>
  <c r="O92" i="69"/>
  <c r="K92" i="69"/>
  <c r="N92" i="69"/>
  <c r="P92" i="69"/>
  <c r="H92" i="69"/>
  <c r="G92" i="69"/>
  <c r="M92" i="69"/>
  <c r="F92" i="69"/>
  <c r="C92" i="69"/>
  <c r="L92" i="69"/>
  <c r="D92" i="69"/>
  <c r="E92" i="69"/>
  <c r="K95" i="69"/>
  <c r="M95" i="69"/>
  <c r="D95" i="69"/>
  <c r="E95" i="69"/>
  <c r="C95" i="69"/>
  <c r="I95" i="69"/>
  <c r="G95" i="69"/>
  <c r="J95" i="69"/>
  <c r="H95" i="69"/>
  <c r="F95" i="69"/>
  <c r="O95" i="69"/>
  <c r="L95" i="69"/>
  <c r="L87" i="69"/>
  <c r="J87" i="69"/>
  <c r="I87" i="69"/>
  <c r="Q87" i="69"/>
  <c r="O87" i="69"/>
  <c r="P87" i="69"/>
  <c r="K87" i="69"/>
  <c r="M87" i="69"/>
  <c r="E87" i="69"/>
  <c r="H87" i="69"/>
  <c r="D87" i="69"/>
  <c r="F87" i="69"/>
  <c r="N87" i="69"/>
  <c r="C87" i="69"/>
  <c r="G87" i="69"/>
  <c r="M91" i="69"/>
  <c r="B90" i="69"/>
  <c r="BA87" i="69" s="1"/>
  <c r="B82" i="44"/>
  <c r="B86" i="44"/>
  <c r="B81" i="44"/>
  <c r="B80" i="44"/>
  <c r="E91" i="69" l="1"/>
  <c r="D91" i="69"/>
  <c r="H91" i="69"/>
  <c r="F91" i="69"/>
  <c r="G91" i="69"/>
  <c r="C91" i="69"/>
  <c r="L91" i="69"/>
  <c r="B88" i="69"/>
  <c r="AY87" i="69" s="1"/>
  <c r="B87" i="69"/>
  <c r="Q89" i="69" l="1"/>
  <c r="O89" i="69"/>
  <c r="K89" i="69"/>
  <c r="M89" i="69"/>
  <c r="F89" i="69"/>
  <c r="D89" i="69"/>
  <c r="G89" i="69"/>
  <c r="H89" i="69"/>
  <c r="L89" i="69"/>
  <c r="C89" i="69"/>
  <c r="I89" i="69"/>
  <c r="N89" i="69"/>
  <c r="J89" i="69"/>
  <c r="E89" i="69"/>
  <c r="AX87" i="69"/>
  <c r="Q15" i="69" l="1"/>
  <c r="Q22" i="69" s="1"/>
  <c r="Q92" i="69" l="1"/>
  <c r="B92" i="69" s="1"/>
  <c r="BC87" i="69" s="1"/>
  <c r="Q38" i="69"/>
  <c r="R38" i="69" s="1"/>
  <c r="S38" i="69" s="1"/>
  <c r="BC30" i="69" s="1"/>
  <c r="Q95" i="69"/>
  <c r="Q42" i="69"/>
  <c r="P12" i="69" l="1"/>
  <c r="P22" i="69" s="1"/>
  <c r="P89" i="69" l="1"/>
  <c r="B89" i="69" s="1"/>
  <c r="AZ87" i="69" s="1"/>
  <c r="P35" i="69"/>
  <c r="R35" i="69" s="1"/>
  <c r="S35" i="69" s="1"/>
  <c r="AZ30" i="69" s="1"/>
  <c r="P42" i="69"/>
  <c r="P95" i="69"/>
  <c r="Q7" i="69" l="1"/>
  <c r="Q21" i="69" s="1"/>
  <c r="Q20" i="69" s="1"/>
  <c r="Q25" i="69" l="1"/>
  <c r="AA9" i="69" l="1"/>
  <c r="AA45" i="69"/>
  <c r="AA50" i="69" l="1"/>
  <c r="AC45" i="69"/>
  <c r="AC50" i="69" l="1"/>
  <c r="BV31" i="69"/>
  <c r="N14" i="69" l="1"/>
  <c r="N91" i="69" s="1"/>
  <c r="B91" i="69" s="1"/>
  <c r="N37" i="69" l="1"/>
  <c r="R37" i="69" s="1"/>
  <c r="S37" i="69" s="1"/>
  <c r="BB30" i="69" s="1"/>
  <c r="BB87" i="69"/>
  <c r="N95" i="69"/>
  <c r="B95" i="69" s="1"/>
  <c r="BG87" i="69" s="1"/>
  <c r="N22" i="69"/>
  <c r="B23" i="69" s="1"/>
  <c r="AA8" i="69" s="1"/>
  <c r="N42" i="69"/>
  <c r="R42" i="69" s="1"/>
  <c r="S42" i="69" s="1"/>
  <c r="BG30" i="69" s="1"/>
  <c r="AA10" i="69" l="1"/>
  <c r="AA11" i="69"/>
  <c r="B98" i="69"/>
  <c r="CA32" i="69"/>
  <c r="X86" i="69" l="1"/>
  <c r="AA13" i="69" l="1"/>
  <c r="AA14" i="69" s="1"/>
</calcChain>
</file>

<file path=xl/comments1.xml><?xml version="1.0" encoding="utf-8"?>
<comments xmlns="http://schemas.openxmlformats.org/spreadsheetml/2006/main">
  <authors>
    <author>Gustavo</author>
    <author>Gustavo Camargo</author>
    <author>Dave Mortensen</author>
  </authors>
  <commentList>
    <comment ref="A315" authorId="0">
      <text>
        <r>
          <rPr>
            <b/>
            <sz val="9"/>
            <color indexed="81"/>
            <rFont val="Tahoma"/>
            <family val="2"/>
          </rPr>
          <t>20yr. Production period. (assumption)</t>
        </r>
        <r>
          <rPr>
            <sz val="9"/>
            <color indexed="81"/>
            <rFont val="Tahoma"/>
            <family val="2"/>
          </rPr>
          <t xml:space="preserve">
</t>
        </r>
      </text>
    </comment>
    <comment ref="A322" authorId="0">
      <text>
        <r>
          <rPr>
            <b/>
            <sz val="9"/>
            <color indexed="81"/>
            <rFont val="Tahoma"/>
            <family val="2"/>
          </rPr>
          <t>15yr production period.</t>
        </r>
        <r>
          <rPr>
            <sz val="9"/>
            <color indexed="81"/>
            <rFont val="Tahoma"/>
            <family val="2"/>
          </rPr>
          <t xml:space="preserve">
</t>
        </r>
      </text>
    </comment>
    <comment ref="A323" authorId="0">
      <text>
        <r>
          <rPr>
            <b/>
            <sz val="9"/>
            <color indexed="81"/>
            <rFont val="Tahoma"/>
            <family val="2"/>
          </rPr>
          <t>20 yr. production period.</t>
        </r>
        <r>
          <rPr>
            <sz val="9"/>
            <color indexed="81"/>
            <rFont val="Tahoma"/>
            <family val="2"/>
          </rPr>
          <t xml:space="preserve">
</t>
        </r>
      </text>
    </comment>
    <comment ref="A324" authorId="0">
      <text>
        <r>
          <rPr>
            <b/>
            <sz val="9"/>
            <color indexed="81"/>
            <rFont val="Tahoma"/>
            <family val="2"/>
          </rPr>
          <t>15yr production period.</t>
        </r>
        <r>
          <rPr>
            <sz val="9"/>
            <color indexed="81"/>
            <rFont val="Tahoma"/>
            <family val="2"/>
          </rPr>
          <t xml:space="preserve">
</t>
        </r>
      </text>
    </comment>
    <comment ref="A325" authorId="1">
      <text>
        <r>
          <rPr>
            <sz val="9"/>
            <color indexed="81"/>
            <rFont val="Tahoma"/>
            <family val="2"/>
          </rPr>
          <t>~4 years
Data from Samson 1991 (based on Quebec) - Henning 1993 recommends 6 pounds/ac or 6.73 kg/ha</t>
        </r>
      </text>
    </comment>
    <comment ref="A333" authorId="1">
      <text>
        <r>
          <rPr>
            <b/>
            <sz val="9"/>
            <color indexed="81"/>
            <rFont val="Tahoma"/>
            <family val="2"/>
          </rPr>
          <t>23 yr lifetime</t>
        </r>
      </text>
    </comment>
    <comment ref="A334" authorId="1">
      <text>
        <r>
          <rPr>
            <sz val="9"/>
            <color indexed="81"/>
            <rFont val="Tahoma"/>
            <family val="2"/>
          </rPr>
          <t>22 years lifetime</t>
        </r>
      </text>
    </comment>
    <comment ref="A335" authorId="1">
      <text>
        <r>
          <rPr>
            <b/>
            <sz val="9"/>
            <color indexed="81"/>
            <rFont val="Tahoma"/>
            <family val="2"/>
          </rPr>
          <t>8 years lifetime</t>
        </r>
      </text>
    </comment>
    <comment ref="A404" authorId="0">
      <text>
        <r>
          <rPr>
            <sz val="9"/>
            <color indexed="81"/>
            <rFont val="Tahoma"/>
            <family val="2"/>
          </rPr>
          <t xml:space="preserve">Pendimethalin, Haloxyfop-ethoxyethyl
Glyphosate
</t>
        </r>
      </text>
    </comment>
    <comment ref="A407" authorId="0">
      <text>
        <r>
          <rPr>
            <sz val="9"/>
            <color indexed="81"/>
            <rFont val="Tahoma"/>
            <family val="2"/>
          </rPr>
          <t xml:space="preserve">Glyphosate, simazine, oxyfluorfen
</t>
        </r>
      </text>
    </comment>
    <comment ref="B453" authorId="0">
      <text>
        <r>
          <rPr>
            <sz val="9"/>
            <color indexed="81"/>
            <rFont val="Tahoma"/>
            <family val="2"/>
          </rPr>
          <t xml:space="preserve">Conventional tillage
</t>
        </r>
      </text>
    </comment>
    <comment ref="B454" authorId="0">
      <text>
        <r>
          <rPr>
            <sz val="9"/>
            <color indexed="81"/>
            <rFont val="Tahoma"/>
            <family val="2"/>
          </rPr>
          <t>Reduced tillage</t>
        </r>
      </text>
    </comment>
    <comment ref="B455" authorId="0">
      <text>
        <r>
          <rPr>
            <sz val="9"/>
            <color indexed="81"/>
            <rFont val="Tahoma"/>
            <family val="2"/>
          </rPr>
          <t>No-till</t>
        </r>
      </text>
    </comment>
    <comment ref="A547" authorId="2">
      <text>
        <r>
          <rPr>
            <b/>
            <sz val="8"/>
            <color indexed="81"/>
            <rFont val="Tahoma"/>
            <family val="2"/>
          </rPr>
          <t>Dave Mortensen:</t>
        </r>
        <r>
          <rPr>
            <sz val="8"/>
            <color indexed="81"/>
            <rFont val="Tahoma"/>
            <family val="2"/>
          </rPr>
          <t xml:space="preserve">
average of range 15 to 38</t>
        </r>
      </text>
    </comment>
    <comment ref="A549" authorId="2">
      <text>
        <r>
          <rPr>
            <b/>
            <sz val="8"/>
            <color indexed="81"/>
            <rFont val="Tahoma"/>
            <family val="2"/>
          </rPr>
          <t>Dave Mortensen:</t>
        </r>
        <r>
          <rPr>
            <sz val="8"/>
            <color indexed="81"/>
            <rFont val="Tahoma"/>
            <family val="2"/>
          </rPr>
          <t xml:space="preserve">
Average of range 15.1 to 25.1</t>
        </r>
      </text>
    </comment>
    <comment ref="A550" authorId="0">
      <text>
        <r>
          <rPr>
            <b/>
            <sz val="9"/>
            <color indexed="81"/>
            <rFont val="Tahoma"/>
            <family val="2"/>
          </rPr>
          <t>Gustavo:</t>
        </r>
        <r>
          <rPr>
            <sz val="9"/>
            <color indexed="81"/>
            <rFont val="Tahoma"/>
            <family val="2"/>
          </rPr>
          <t xml:space="preserve">
average, study gives a range</t>
        </r>
      </text>
    </comment>
    <comment ref="A551" authorId="0">
      <text>
        <r>
          <rPr>
            <b/>
            <sz val="9"/>
            <color indexed="81"/>
            <rFont val="Tahoma"/>
            <family val="2"/>
          </rPr>
          <t>Gustavo:</t>
        </r>
        <r>
          <rPr>
            <sz val="9"/>
            <color indexed="81"/>
            <rFont val="Tahoma"/>
            <family val="2"/>
          </rPr>
          <t xml:space="preserve">
5 to 10% fuel reduction for tractors manufactured since 1990 and in good condition.</t>
        </r>
      </text>
    </comment>
    <comment ref="A554" authorId="0">
      <text>
        <r>
          <rPr>
            <b/>
            <sz val="9"/>
            <color indexed="81"/>
            <rFont val="Tahoma"/>
            <family val="2"/>
          </rPr>
          <t>Gustavo:</t>
        </r>
        <r>
          <rPr>
            <sz val="9"/>
            <color indexed="81"/>
            <rFont val="Tahoma"/>
            <family val="2"/>
          </rPr>
          <t xml:space="preserve">
it is stated as plow</t>
        </r>
      </text>
    </comment>
    <comment ref="A555" authorId="0">
      <text>
        <r>
          <rPr>
            <b/>
            <sz val="9"/>
            <color indexed="81"/>
            <rFont val="Tahoma"/>
            <family val="2"/>
          </rPr>
          <t>Gustavo:</t>
        </r>
        <r>
          <rPr>
            <sz val="9"/>
            <color indexed="81"/>
            <rFont val="Tahoma"/>
            <family val="2"/>
          </rPr>
          <t xml:space="preserve">
stated as plow</t>
        </r>
      </text>
    </comment>
    <comment ref="A556" authorId="0">
      <text>
        <r>
          <rPr>
            <b/>
            <sz val="9"/>
            <color indexed="81"/>
            <rFont val="Tahoma"/>
            <family val="2"/>
          </rPr>
          <t>Gustavo:</t>
        </r>
        <r>
          <rPr>
            <sz val="9"/>
            <color indexed="81"/>
            <rFont val="Tahoma"/>
            <family val="2"/>
          </rPr>
          <t xml:space="preserve">
stated as spring plow</t>
        </r>
      </text>
    </comment>
    <comment ref="A558" authorId="0">
      <text>
        <r>
          <rPr>
            <b/>
            <sz val="9"/>
            <color indexed="81"/>
            <rFont val="Tahoma"/>
            <family val="2"/>
          </rPr>
          <t>Gustavo:</t>
        </r>
        <r>
          <rPr>
            <sz val="9"/>
            <color indexed="81"/>
            <rFont val="Tahoma"/>
            <family val="2"/>
          </rPr>
          <t xml:space="preserve">
75kw
capacity=1ha/hour</t>
        </r>
      </text>
    </comment>
    <comment ref="A560" authorId="0">
      <text>
        <r>
          <rPr>
            <b/>
            <sz val="9"/>
            <color indexed="81"/>
            <rFont val="Tahoma"/>
            <family val="2"/>
          </rPr>
          <t>Gustavo:</t>
        </r>
        <r>
          <rPr>
            <sz val="9"/>
            <color indexed="81"/>
            <rFont val="Tahoma"/>
            <family val="2"/>
          </rPr>
          <t xml:space="preserve">
72 kW diesel tractor</t>
        </r>
      </text>
    </comment>
    <comment ref="B560" authorId="0">
      <text>
        <r>
          <rPr>
            <b/>
            <sz val="9"/>
            <color indexed="81"/>
            <rFont val="Tahoma"/>
            <family val="2"/>
          </rPr>
          <t>Gustavo:</t>
        </r>
        <r>
          <rPr>
            <sz val="9"/>
            <color indexed="81"/>
            <rFont val="Tahoma"/>
            <family val="2"/>
          </rPr>
          <t xml:space="preserve">
average</t>
        </r>
      </text>
    </comment>
    <comment ref="A561" authorId="0">
      <text>
        <r>
          <rPr>
            <b/>
            <sz val="9"/>
            <color indexed="81"/>
            <rFont val="Tahoma"/>
            <family val="2"/>
          </rPr>
          <t>Gustavo:</t>
        </r>
        <r>
          <rPr>
            <sz val="9"/>
            <color indexed="81"/>
            <rFont val="Tahoma"/>
            <family val="2"/>
          </rPr>
          <t xml:space="preserve">
capacity:0.85 ha/h</t>
        </r>
      </text>
    </comment>
    <comment ref="A569" authorId="2">
      <text>
        <r>
          <rPr>
            <b/>
            <sz val="8"/>
            <color indexed="81"/>
            <rFont val="Tahoma"/>
            <family val="2"/>
          </rPr>
          <t>Dave Mortensen:</t>
        </r>
        <r>
          <rPr>
            <sz val="8"/>
            <color indexed="81"/>
            <rFont val="Tahoma"/>
            <family val="2"/>
          </rPr>
          <t xml:space="preserve">
Average of range 10.3 to 16.9</t>
        </r>
      </text>
    </comment>
    <comment ref="A571" authorId="2">
      <text>
        <r>
          <rPr>
            <b/>
            <sz val="8"/>
            <color indexed="81"/>
            <rFont val="Tahoma"/>
            <family val="2"/>
          </rPr>
          <t>Dave Mortensen:</t>
        </r>
        <r>
          <rPr>
            <sz val="8"/>
            <color indexed="81"/>
            <rFont val="Tahoma"/>
            <family val="2"/>
          </rPr>
          <t xml:space="preserve">
Average of range 9.5 to 15.9</t>
        </r>
      </text>
    </comment>
    <comment ref="A572" authorId="0">
      <text>
        <r>
          <rPr>
            <b/>
            <sz val="9"/>
            <color indexed="81"/>
            <rFont val="Tahoma"/>
            <family val="2"/>
          </rPr>
          <t>Gustavo:</t>
        </r>
        <r>
          <rPr>
            <sz val="9"/>
            <color indexed="81"/>
            <rFont val="Tahoma"/>
            <family val="2"/>
          </rPr>
          <t xml:space="preserve">
8.4 - 32.8</t>
        </r>
      </text>
    </comment>
    <comment ref="A576" authorId="0">
      <text>
        <r>
          <rPr>
            <b/>
            <sz val="9"/>
            <color indexed="81"/>
            <rFont val="Tahoma"/>
            <family val="2"/>
          </rPr>
          <t>Gustavo:</t>
        </r>
        <r>
          <rPr>
            <sz val="9"/>
            <color indexed="81"/>
            <rFont val="Tahoma"/>
            <family val="2"/>
          </rPr>
          <t xml:space="preserve">
average of results</t>
        </r>
      </text>
    </comment>
    <comment ref="A579" authorId="0">
      <text>
        <r>
          <rPr>
            <b/>
            <sz val="9"/>
            <color indexed="81"/>
            <rFont val="Tahoma"/>
            <family val="2"/>
          </rPr>
          <t>Gustavo:</t>
        </r>
        <r>
          <rPr>
            <sz val="9"/>
            <color indexed="81"/>
            <rFont val="Tahoma"/>
            <family val="2"/>
          </rPr>
          <t xml:space="preserve">
Capacity: 1.48 ha/h</t>
        </r>
      </text>
    </comment>
    <comment ref="A589" authorId="0">
      <text>
        <r>
          <rPr>
            <b/>
            <sz val="9"/>
            <color indexed="81"/>
            <rFont val="Tahoma"/>
            <family val="2"/>
          </rPr>
          <t>Gustavo:</t>
        </r>
        <r>
          <rPr>
            <sz val="9"/>
            <color indexed="81"/>
            <rFont val="Tahoma"/>
            <family val="2"/>
          </rPr>
          <t xml:space="preserve">
offset disk
Average of range </t>
        </r>
      </text>
    </comment>
    <comment ref="A593" authorId="2">
      <text>
        <r>
          <rPr>
            <b/>
            <sz val="8"/>
            <color indexed="81"/>
            <rFont val="Tahoma"/>
            <family val="2"/>
          </rPr>
          <t>Dave Mortensen:</t>
        </r>
        <r>
          <rPr>
            <sz val="8"/>
            <color indexed="81"/>
            <rFont val="Tahoma"/>
            <family val="2"/>
          </rPr>
          <t xml:space="preserve">
Averaeg of range</t>
        </r>
      </text>
    </comment>
    <comment ref="A596" authorId="0">
      <text>
        <r>
          <rPr>
            <b/>
            <sz val="9"/>
            <color indexed="81"/>
            <rFont val="Tahoma"/>
            <family val="2"/>
          </rPr>
          <t>Gustavo:</t>
        </r>
        <r>
          <rPr>
            <sz val="9"/>
            <color indexed="81"/>
            <rFont val="Tahoma"/>
            <family val="2"/>
          </rPr>
          <t xml:space="preserve">
As Disk ripper
Capacity: 2.10 ha/h</t>
        </r>
      </text>
    </comment>
    <comment ref="A597" authorId="0">
      <text>
        <r>
          <rPr>
            <b/>
            <sz val="9"/>
            <color indexed="81"/>
            <rFont val="Tahoma"/>
            <family val="2"/>
          </rPr>
          <t>Gustavo:</t>
        </r>
        <r>
          <rPr>
            <sz val="9"/>
            <color indexed="81"/>
            <rFont val="Tahoma"/>
            <family val="2"/>
          </rPr>
          <t xml:space="preserve">
Capacity: 2.28 ha/h</t>
        </r>
      </text>
    </comment>
    <comment ref="A599" authorId="0">
      <text>
        <r>
          <rPr>
            <b/>
            <sz val="9"/>
            <color indexed="81"/>
            <rFont val="Tahoma"/>
            <family val="2"/>
          </rPr>
          <t>Gustavo:</t>
        </r>
        <r>
          <rPr>
            <sz val="9"/>
            <color indexed="81"/>
            <rFont val="Tahoma"/>
            <family val="2"/>
          </rPr>
          <t xml:space="preserve">
10.3-21.5</t>
        </r>
      </text>
    </comment>
    <comment ref="A605" authorId="0">
      <text>
        <r>
          <rPr>
            <b/>
            <sz val="9"/>
            <color indexed="81"/>
            <rFont val="Tahoma"/>
            <family val="2"/>
          </rPr>
          <t>Gustavo:</t>
        </r>
        <r>
          <rPr>
            <sz val="9"/>
            <color indexed="81"/>
            <rFont val="Tahoma"/>
            <family val="2"/>
          </rPr>
          <t xml:space="preserve">
Capacity: 1.56 ha/h</t>
        </r>
      </text>
    </comment>
    <comment ref="A606" authorId="0">
      <text>
        <r>
          <rPr>
            <b/>
            <sz val="9"/>
            <color indexed="81"/>
            <rFont val="Tahoma"/>
            <family val="2"/>
          </rPr>
          <t>Gustavo:</t>
        </r>
        <r>
          <rPr>
            <sz val="9"/>
            <color indexed="81"/>
            <rFont val="Tahoma"/>
            <family val="2"/>
          </rPr>
          <t xml:space="preserve">
Capacity: 1.30 ha/h</t>
        </r>
      </text>
    </comment>
    <comment ref="A607" authorId="0">
      <text>
        <r>
          <rPr>
            <b/>
            <sz val="9"/>
            <color indexed="81"/>
            <rFont val="Tahoma"/>
            <family val="2"/>
          </rPr>
          <t>Gustavo:</t>
        </r>
        <r>
          <rPr>
            <sz val="9"/>
            <color indexed="81"/>
            <rFont val="Tahoma"/>
            <family val="2"/>
          </rPr>
          <t xml:space="preserve">
Capacity: 3.43 ha/h</t>
        </r>
      </text>
    </comment>
    <comment ref="A608" authorId="0">
      <text>
        <r>
          <rPr>
            <b/>
            <sz val="9"/>
            <color indexed="81"/>
            <rFont val="Tahoma"/>
            <family val="2"/>
          </rPr>
          <t>Gustavo:</t>
        </r>
        <r>
          <rPr>
            <sz val="9"/>
            <color indexed="81"/>
            <rFont val="Tahoma"/>
            <family val="2"/>
          </rPr>
          <t xml:space="preserve">
Capacity: 5.26 ha/h</t>
        </r>
      </text>
    </comment>
    <comment ref="A616" authorId="0">
      <text>
        <r>
          <rPr>
            <b/>
            <sz val="9"/>
            <color indexed="81"/>
            <rFont val="Tahoma"/>
            <family val="2"/>
          </rPr>
          <t>Gustavo:</t>
        </r>
        <r>
          <rPr>
            <sz val="9"/>
            <color indexed="81"/>
            <rFont val="Tahoma"/>
            <family val="2"/>
          </rPr>
          <t xml:space="preserve">
Tandem disk</t>
        </r>
      </text>
    </comment>
    <comment ref="A618" authorId="0">
      <text>
        <r>
          <rPr>
            <b/>
            <sz val="9"/>
            <color indexed="81"/>
            <rFont val="Tahoma"/>
            <family val="2"/>
          </rPr>
          <t>Gustavo:</t>
        </r>
        <r>
          <rPr>
            <sz val="9"/>
            <color indexed="81"/>
            <rFont val="Tahoma"/>
            <family val="2"/>
          </rPr>
          <t xml:space="preserve">
tandem disk</t>
        </r>
      </text>
    </comment>
    <comment ref="A619" authorId="0">
      <text>
        <r>
          <rPr>
            <b/>
            <sz val="9"/>
            <color indexed="81"/>
            <rFont val="Tahoma"/>
            <family val="2"/>
          </rPr>
          <t>Gustavo:
2.9 - 30.9</t>
        </r>
      </text>
    </comment>
    <comment ref="A620" authorId="0">
      <text>
        <r>
          <rPr>
            <b/>
            <sz val="9"/>
            <color indexed="81"/>
            <rFont val="Tahoma"/>
            <family val="2"/>
          </rPr>
          <t>Gustavo:</t>
        </r>
        <r>
          <rPr>
            <sz val="9"/>
            <color indexed="81"/>
            <rFont val="Tahoma"/>
            <family val="2"/>
          </rPr>
          <t xml:space="preserve">
Tandem disk
plowed field - 4.2
tilled field - 5.1
corn stalks field - 6.1
</t>
        </r>
      </text>
    </comment>
    <comment ref="A627" authorId="0">
      <text>
        <r>
          <rPr>
            <b/>
            <sz val="9"/>
            <color indexed="81"/>
            <rFont val="Tahoma"/>
            <family val="2"/>
          </rPr>
          <t>Gustavo:</t>
        </r>
        <r>
          <rPr>
            <sz val="9"/>
            <color indexed="81"/>
            <rFont val="Tahoma"/>
            <family val="2"/>
          </rPr>
          <t xml:space="preserve">
plowed or tilled field</t>
        </r>
      </text>
    </comment>
    <comment ref="A628" authorId="0">
      <text>
        <r>
          <rPr>
            <b/>
            <sz val="9"/>
            <color indexed="81"/>
            <rFont val="Tahoma"/>
            <family val="2"/>
          </rPr>
          <t>Gustavo:</t>
        </r>
        <r>
          <rPr>
            <sz val="9"/>
            <color indexed="81"/>
            <rFont val="Tahoma"/>
            <family val="2"/>
          </rPr>
          <t xml:space="preserve">
2.8 - 16.8</t>
        </r>
      </text>
    </comment>
    <comment ref="A631" authorId="0">
      <text>
        <r>
          <rPr>
            <b/>
            <sz val="9"/>
            <color indexed="81"/>
            <rFont val="Tahoma"/>
            <family val="2"/>
          </rPr>
          <t>Gustavo:</t>
        </r>
        <r>
          <rPr>
            <sz val="9"/>
            <color indexed="81"/>
            <rFont val="Tahoma"/>
            <family val="2"/>
          </rPr>
          <t xml:space="preserve">
stated as cultivate (once)</t>
        </r>
      </text>
    </comment>
    <comment ref="A640" authorId="0">
      <text>
        <r>
          <rPr>
            <b/>
            <sz val="9"/>
            <color indexed="81"/>
            <rFont val="Tahoma"/>
            <family val="2"/>
          </rPr>
          <t>Gustavo:</t>
        </r>
        <r>
          <rPr>
            <sz val="9"/>
            <color indexed="81"/>
            <rFont val="Tahoma"/>
            <family val="2"/>
          </rPr>
          <t xml:space="preserve">
trailer type</t>
        </r>
      </text>
    </comment>
    <comment ref="A644" authorId="0">
      <text>
        <r>
          <rPr>
            <b/>
            <sz val="9"/>
            <color indexed="81"/>
            <rFont val="Tahoma"/>
            <family val="2"/>
          </rPr>
          <t>Gustavo:</t>
        </r>
        <r>
          <rPr>
            <sz val="9"/>
            <color indexed="81"/>
            <rFont val="Tahoma"/>
            <family val="2"/>
          </rPr>
          <t xml:space="preserve">
capacity: 9ha/h</t>
        </r>
      </text>
    </comment>
    <comment ref="A653" authorId="0">
      <text>
        <r>
          <rPr>
            <b/>
            <sz val="9"/>
            <color indexed="81"/>
            <rFont val="Tahoma"/>
            <family val="2"/>
          </rPr>
          <t>Gustavo:</t>
        </r>
        <r>
          <rPr>
            <sz val="9"/>
            <color indexed="81"/>
            <rFont val="Tahoma"/>
            <family val="2"/>
          </rPr>
          <t xml:space="preserve">
same as lime</t>
        </r>
      </text>
    </comment>
    <comment ref="A654" authorId="0">
      <text>
        <r>
          <rPr>
            <b/>
            <sz val="9"/>
            <color indexed="81"/>
            <rFont val="Tahoma"/>
            <family val="2"/>
          </rPr>
          <t>Gustavo:</t>
        </r>
        <r>
          <rPr>
            <sz val="9"/>
            <color indexed="81"/>
            <rFont val="Tahoma"/>
            <family val="2"/>
          </rPr>
          <t xml:space="preserve">
Knife-in fertilizer</t>
        </r>
      </text>
    </comment>
    <comment ref="A655" authorId="0">
      <text>
        <r>
          <rPr>
            <b/>
            <sz val="9"/>
            <color indexed="81"/>
            <rFont val="Tahoma"/>
            <family val="2"/>
          </rPr>
          <t>Gustavo:</t>
        </r>
        <r>
          <rPr>
            <sz val="9"/>
            <color indexed="81"/>
            <rFont val="Tahoma"/>
            <family val="2"/>
          </rPr>
          <t xml:space="preserve">
anhydrous applicator
</t>
        </r>
      </text>
    </comment>
    <comment ref="A656" authorId="0">
      <text>
        <r>
          <rPr>
            <b/>
            <sz val="9"/>
            <color indexed="81"/>
            <rFont val="Tahoma"/>
            <family val="2"/>
          </rPr>
          <t>Gustavo:</t>
        </r>
        <r>
          <rPr>
            <sz val="9"/>
            <color indexed="81"/>
            <rFont val="Tahoma"/>
            <family val="2"/>
          </rPr>
          <t xml:space="preserve">
capacity= 9ha/h</t>
        </r>
      </text>
    </comment>
    <comment ref="A666" authorId="0">
      <text>
        <r>
          <rPr>
            <b/>
            <sz val="9"/>
            <color indexed="81"/>
            <rFont val="Tahoma"/>
            <family val="2"/>
          </rPr>
          <t>Gustavo:</t>
        </r>
        <r>
          <rPr>
            <sz val="9"/>
            <color indexed="81"/>
            <rFont val="Tahoma"/>
            <family val="2"/>
          </rPr>
          <t xml:space="preserve">
-seed only;tilled seedbed
-planter w/ fertilizer and pest. Attachments/tilled seedbed
-Till planter
aveerage of range</t>
        </r>
      </text>
    </comment>
    <comment ref="A667" authorId="0">
      <text>
        <r>
          <rPr>
            <b/>
            <sz val="9"/>
            <color indexed="81"/>
            <rFont val="Tahoma"/>
            <family val="2"/>
          </rPr>
          <t>Gustavo:</t>
        </r>
        <r>
          <rPr>
            <sz val="9"/>
            <color indexed="81"/>
            <rFont val="Tahoma"/>
            <family val="2"/>
          </rPr>
          <t xml:space="preserve">
"planting row crops"</t>
        </r>
      </text>
    </comment>
    <comment ref="A668" authorId="2">
      <text>
        <r>
          <rPr>
            <b/>
            <sz val="8"/>
            <color indexed="81"/>
            <rFont val="Tahoma"/>
            <family val="2"/>
          </rPr>
          <t>Dave Mortensen:</t>
        </r>
        <r>
          <rPr>
            <sz val="8"/>
            <color indexed="81"/>
            <rFont val="Tahoma"/>
            <family val="2"/>
          </rPr>
          <t xml:space="preserve">
average of range</t>
        </r>
      </text>
    </comment>
    <comment ref="A673" authorId="0">
      <text>
        <r>
          <rPr>
            <b/>
            <sz val="9"/>
            <color indexed="81"/>
            <rFont val="Tahoma"/>
            <family val="2"/>
          </rPr>
          <t>Gustavo:</t>
        </r>
        <r>
          <rPr>
            <sz val="9"/>
            <color indexed="81"/>
            <rFont val="Tahoma"/>
            <family val="2"/>
          </rPr>
          <t xml:space="preserve">
stated as planting</t>
        </r>
      </text>
    </comment>
    <comment ref="A694" authorId="2">
      <text>
        <r>
          <rPr>
            <b/>
            <sz val="8"/>
            <color indexed="81"/>
            <rFont val="Tahoma"/>
            <family val="2"/>
          </rPr>
          <t>Dave Mortensen:</t>
        </r>
        <r>
          <rPr>
            <sz val="8"/>
            <color indexed="81"/>
            <rFont val="Tahoma"/>
            <family val="2"/>
          </rPr>
          <t xml:space="preserve">
Average of range</t>
        </r>
      </text>
    </comment>
    <comment ref="A697" authorId="0">
      <text>
        <r>
          <rPr>
            <b/>
            <sz val="9"/>
            <color indexed="81"/>
            <rFont val="Tahoma"/>
            <family val="2"/>
          </rPr>
          <t>Gustavo:</t>
        </r>
        <r>
          <rPr>
            <sz val="9"/>
            <color indexed="81"/>
            <rFont val="Tahoma"/>
            <family val="2"/>
          </rPr>
          <t xml:space="preserve">
average of results</t>
        </r>
      </text>
    </comment>
    <comment ref="A713" authorId="0">
      <text>
        <r>
          <rPr>
            <b/>
            <sz val="9"/>
            <color indexed="81"/>
            <rFont val="Tahoma"/>
            <family val="2"/>
          </rPr>
          <t>Gustavo:</t>
        </r>
        <r>
          <rPr>
            <sz val="9"/>
            <color indexed="81"/>
            <rFont val="Tahoma"/>
            <family val="2"/>
          </rPr>
          <t xml:space="preserve">
inter-row: 3.6</t>
        </r>
      </text>
    </comment>
    <comment ref="A749" authorId="0">
      <text>
        <r>
          <rPr>
            <b/>
            <sz val="9"/>
            <color indexed="81"/>
            <rFont val="Tahoma"/>
            <family val="2"/>
          </rPr>
          <t>Gustavo:</t>
        </r>
        <r>
          <rPr>
            <sz val="9"/>
            <color indexed="81"/>
            <rFont val="Tahoma"/>
            <family val="2"/>
          </rPr>
          <t xml:space="preserve">
capacity: 6ha/h</t>
        </r>
      </text>
    </comment>
    <comment ref="A762" authorId="0">
      <text>
        <r>
          <rPr>
            <b/>
            <sz val="9"/>
            <color indexed="81"/>
            <rFont val="Tahoma"/>
            <family val="2"/>
          </rPr>
          <t>Gustavo:</t>
        </r>
        <r>
          <rPr>
            <sz val="9"/>
            <color indexed="81"/>
            <rFont val="Tahoma"/>
            <family val="2"/>
          </rPr>
          <t xml:space="preserve">
Depends on the density</t>
        </r>
      </text>
    </comment>
    <comment ref="B764" authorId="0">
      <text>
        <r>
          <rPr>
            <b/>
            <sz val="9"/>
            <color indexed="81"/>
            <rFont val="Tahoma"/>
            <family val="2"/>
          </rPr>
          <t>Gustavo:</t>
        </r>
        <r>
          <rPr>
            <sz val="9"/>
            <color indexed="81"/>
            <rFont val="Tahoma"/>
            <family val="2"/>
          </rPr>
          <t xml:space="preserve">
Range: 2.8 - 16.8</t>
        </r>
      </text>
    </comment>
    <comment ref="B774" authorId="0">
      <text>
        <r>
          <rPr>
            <b/>
            <sz val="9"/>
            <color indexed="81"/>
            <rFont val="Tahoma"/>
            <family val="2"/>
          </rPr>
          <t>Gustavo:</t>
        </r>
        <r>
          <rPr>
            <sz val="9"/>
            <color indexed="81"/>
            <rFont val="Tahoma"/>
            <family val="2"/>
          </rPr>
          <t xml:space="preserve">
Range: 1.9 - 11.8</t>
        </r>
      </text>
    </comment>
    <comment ref="B784" authorId="0">
      <text>
        <r>
          <rPr>
            <b/>
            <sz val="9"/>
            <color indexed="81"/>
            <rFont val="Tahoma"/>
            <family val="2"/>
          </rPr>
          <t>Gustavo:</t>
        </r>
        <r>
          <rPr>
            <sz val="9"/>
            <color indexed="81"/>
            <rFont val="Tahoma"/>
            <family val="2"/>
          </rPr>
          <t xml:space="preserve">
Range: 0.9-27.1</t>
        </r>
      </text>
    </comment>
    <comment ref="A787" authorId="0">
      <text>
        <r>
          <rPr>
            <b/>
            <sz val="9"/>
            <color indexed="81"/>
            <rFont val="Tahoma"/>
            <family val="2"/>
          </rPr>
          <t>Gustavo:</t>
        </r>
        <r>
          <rPr>
            <sz val="9"/>
            <color indexed="81"/>
            <rFont val="Tahoma"/>
            <family val="2"/>
          </rPr>
          <t xml:space="preserve">
large round baler</t>
        </r>
      </text>
    </comment>
    <comment ref="A788" authorId="0">
      <text>
        <r>
          <rPr>
            <b/>
            <sz val="9"/>
            <color indexed="81"/>
            <rFont val="Tahoma"/>
            <family val="2"/>
          </rPr>
          <t>Gustavo:</t>
        </r>
        <r>
          <rPr>
            <sz val="9"/>
            <color indexed="81"/>
            <rFont val="Tahoma"/>
            <family val="2"/>
          </rPr>
          <t xml:space="preserve">
depends on the density of the crop.
Switchgrass established: 11.58 </t>
        </r>
      </text>
    </comment>
    <comment ref="A789" authorId="0">
      <text>
        <r>
          <rPr>
            <b/>
            <sz val="9"/>
            <color indexed="81"/>
            <rFont val="Tahoma"/>
            <family val="2"/>
          </rPr>
          <t>Gustavo:</t>
        </r>
        <r>
          <rPr>
            <sz val="9"/>
            <color indexed="81"/>
            <rFont val="Tahoma"/>
            <family val="2"/>
          </rPr>
          <t xml:space="preserve">
Capacity: 3 ha/h</t>
        </r>
      </text>
    </comment>
    <comment ref="B791" authorId="0">
      <text>
        <r>
          <rPr>
            <b/>
            <sz val="9"/>
            <color indexed="81"/>
            <rFont val="Tahoma"/>
            <family val="2"/>
          </rPr>
          <t>Gustavo:</t>
        </r>
        <r>
          <rPr>
            <sz val="9"/>
            <color indexed="81"/>
            <rFont val="Tahoma"/>
            <family val="2"/>
          </rPr>
          <t xml:space="preserve">
Range:1.9 - 18.7</t>
        </r>
      </text>
    </comment>
    <comment ref="B796" authorId="0">
      <text>
        <r>
          <rPr>
            <b/>
            <sz val="9"/>
            <color indexed="81"/>
            <rFont val="Tahoma"/>
            <family val="2"/>
          </rPr>
          <t>Gustavo:</t>
        </r>
        <r>
          <rPr>
            <sz val="9"/>
            <color indexed="81"/>
            <rFont val="Tahoma"/>
            <family val="2"/>
          </rPr>
          <t xml:space="preserve">
15.9 - 62.6</t>
        </r>
      </text>
    </comment>
    <comment ref="A802" authorId="0">
      <text>
        <r>
          <rPr>
            <b/>
            <sz val="9"/>
            <color indexed="81"/>
            <rFont val="Tahoma"/>
            <family val="2"/>
          </rPr>
          <t>Gustavo:</t>
        </r>
        <r>
          <rPr>
            <sz val="9"/>
            <color indexed="81"/>
            <rFont val="Tahoma"/>
            <family val="2"/>
          </rPr>
          <t xml:space="preserve">
capacity: 10ha/h</t>
        </r>
      </text>
    </comment>
    <comment ref="A812" authorId="0">
      <text>
        <r>
          <rPr>
            <b/>
            <sz val="9"/>
            <color indexed="81"/>
            <rFont val="Tahoma"/>
            <family val="2"/>
          </rPr>
          <t>Gustavo:</t>
        </r>
        <r>
          <rPr>
            <sz val="9"/>
            <color indexed="81"/>
            <rFont val="Tahoma"/>
            <family val="2"/>
          </rPr>
          <t xml:space="preserve">
Average</t>
        </r>
      </text>
    </comment>
    <comment ref="B812" authorId="0">
      <text>
        <r>
          <rPr>
            <b/>
            <sz val="9"/>
            <color indexed="81"/>
            <rFont val="Tahoma"/>
            <family val="2"/>
          </rPr>
          <t>Gustavo:</t>
        </r>
        <r>
          <rPr>
            <sz val="9"/>
            <color indexed="81"/>
            <rFont val="Tahoma"/>
            <family val="2"/>
          </rPr>
          <t xml:space="preserve">
Range:6.5 - 16.8</t>
        </r>
      </text>
    </comment>
    <comment ref="A813" authorId="0">
      <text>
        <r>
          <rPr>
            <b/>
            <sz val="9"/>
            <color indexed="81"/>
            <rFont val="Tahoma"/>
            <family val="2"/>
          </rPr>
          <t>Gustavo:</t>
        </r>
        <r>
          <rPr>
            <sz val="9"/>
            <color indexed="81"/>
            <rFont val="Tahoma"/>
            <family val="2"/>
          </rPr>
          <t xml:space="preserve">
soybeans</t>
        </r>
      </text>
    </comment>
    <comment ref="A814" authorId="0">
      <text>
        <r>
          <rPr>
            <b/>
            <sz val="9"/>
            <color indexed="81"/>
            <rFont val="Tahoma"/>
            <family val="2"/>
          </rPr>
          <t>Gustavo:</t>
        </r>
        <r>
          <rPr>
            <sz val="9"/>
            <color indexed="81"/>
            <rFont val="Tahoma"/>
            <family val="2"/>
          </rPr>
          <t xml:space="preserve">
3.25 ha/h</t>
        </r>
      </text>
    </comment>
    <comment ref="A823" authorId="0">
      <text>
        <r>
          <rPr>
            <b/>
            <sz val="9"/>
            <color indexed="81"/>
            <rFont val="Tahoma"/>
            <family val="2"/>
          </rPr>
          <t>Gustavo:</t>
        </r>
        <r>
          <rPr>
            <sz val="9"/>
            <color indexed="81"/>
            <rFont val="Tahoma"/>
            <family val="2"/>
          </rPr>
          <t xml:space="preserve">
Average</t>
        </r>
      </text>
    </comment>
    <comment ref="B823" authorId="0">
      <text>
        <r>
          <rPr>
            <b/>
            <sz val="9"/>
            <color indexed="81"/>
            <rFont val="Tahoma"/>
            <family val="2"/>
          </rPr>
          <t>Gustavo:</t>
        </r>
        <r>
          <rPr>
            <sz val="9"/>
            <color indexed="81"/>
            <rFont val="Tahoma"/>
            <family val="2"/>
          </rPr>
          <t xml:space="preserve">
Range:6.5 - 20.6</t>
        </r>
      </text>
    </comment>
    <comment ref="A825" authorId="0">
      <text>
        <r>
          <rPr>
            <b/>
            <sz val="9"/>
            <color indexed="81"/>
            <rFont val="Tahoma"/>
            <family val="2"/>
          </rPr>
          <t>Gustavo:</t>
        </r>
        <r>
          <rPr>
            <sz val="9"/>
            <color indexed="81"/>
            <rFont val="Tahoma"/>
            <family val="2"/>
          </rPr>
          <t xml:space="preserve">
and sorghum
</t>
        </r>
      </text>
    </comment>
    <comment ref="A829" authorId="0">
      <text>
        <r>
          <rPr>
            <b/>
            <sz val="9"/>
            <color indexed="81"/>
            <rFont val="Tahoma"/>
            <family val="2"/>
          </rPr>
          <t>Gustavo:</t>
        </r>
        <r>
          <rPr>
            <sz val="9"/>
            <color indexed="81"/>
            <rFont val="Tahoma"/>
            <family val="2"/>
          </rPr>
          <t xml:space="preserve">
Average</t>
        </r>
      </text>
    </comment>
    <comment ref="B829" authorId="0">
      <text>
        <r>
          <rPr>
            <b/>
            <sz val="9"/>
            <color indexed="81"/>
            <rFont val="Tahoma"/>
            <family val="2"/>
          </rPr>
          <t>Gustavo:</t>
        </r>
        <r>
          <rPr>
            <sz val="9"/>
            <color indexed="81"/>
            <rFont val="Tahoma"/>
            <family val="2"/>
          </rPr>
          <t xml:space="preserve">
Range:11.2 - 28.1</t>
        </r>
      </text>
    </comment>
    <comment ref="A831" authorId="0">
      <text>
        <r>
          <rPr>
            <b/>
            <sz val="9"/>
            <color indexed="81"/>
            <rFont val="Tahoma"/>
            <family val="2"/>
          </rPr>
          <t>Gustavo:</t>
        </r>
        <r>
          <rPr>
            <sz val="9"/>
            <color indexed="81"/>
            <rFont val="Tahoma"/>
            <family val="2"/>
          </rPr>
          <t xml:space="preserve">
Average</t>
        </r>
      </text>
    </comment>
    <comment ref="B831" authorId="0">
      <text>
        <r>
          <rPr>
            <b/>
            <sz val="9"/>
            <color indexed="81"/>
            <rFont val="Tahoma"/>
            <family val="2"/>
          </rPr>
          <t>Gustavo:</t>
        </r>
        <r>
          <rPr>
            <sz val="9"/>
            <color indexed="81"/>
            <rFont val="Tahoma"/>
            <family val="2"/>
          </rPr>
          <t xml:space="preserve">
Range:2.8 - 10.3</t>
        </r>
      </text>
    </comment>
    <comment ref="A834" authorId="0">
      <text>
        <r>
          <rPr>
            <b/>
            <sz val="9"/>
            <color indexed="81"/>
            <rFont val="Tahoma"/>
            <family val="2"/>
          </rPr>
          <t>Gustavo:</t>
        </r>
        <r>
          <rPr>
            <sz val="9"/>
            <color indexed="81"/>
            <rFont val="Tahoma"/>
            <family val="2"/>
          </rPr>
          <t xml:space="preserve">
Average</t>
        </r>
      </text>
    </comment>
    <comment ref="B834" authorId="0">
      <text>
        <r>
          <rPr>
            <b/>
            <sz val="9"/>
            <color indexed="81"/>
            <rFont val="Tahoma"/>
            <family val="2"/>
          </rPr>
          <t>Gustavo:</t>
        </r>
        <r>
          <rPr>
            <sz val="9"/>
            <color indexed="81"/>
            <rFont val="Tahoma"/>
            <family val="2"/>
          </rPr>
          <t xml:space="preserve">
Range: 3.4 - 23.5</t>
        </r>
      </text>
    </comment>
    <comment ref="A835" authorId="0">
      <text>
        <r>
          <rPr>
            <b/>
            <sz val="9"/>
            <color indexed="81"/>
            <rFont val="Tahoma"/>
            <family val="2"/>
          </rPr>
          <t xml:space="preserve">Gustavo:
</t>
        </r>
        <r>
          <rPr>
            <sz val="9"/>
            <color indexed="81"/>
            <rFont val="Tahoma"/>
            <family val="2"/>
          </rPr>
          <t>- haylage
- green forage
- corn silage</t>
        </r>
        <r>
          <rPr>
            <b/>
            <sz val="9"/>
            <color indexed="81"/>
            <rFont val="Tahoma"/>
            <family val="2"/>
          </rPr>
          <t xml:space="preserve">
 </t>
        </r>
      </text>
    </comment>
    <comment ref="A836" authorId="0">
      <text>
        <r>
          <rPr>
            <b/>
            <sz val="9"/>
            <color indexed="81"/>
            <rFont val="Tahoma"/>
            <family val="2"/>
          </rPr>
          <t>Gustavo:</t>
        </r>
        <r>
          <rPr>
            <sz val="9"/>
            <color indexed="81"/>
            <rFont val="Tahoma"/>
            <family val="2"/>
          </rPr>
          <t xml:space="preserve">
Average</t>
        </r>
      </text>
    </comment>
    <comment ref="B836" authorId="0">
      <text>
        <r>
          <rPr>
            <b/>
            <sz val="9"/>
            <color indexed="81"/>
            <rFont val="Tahoma"/>
            <family val="2"/>
          </rPr>
          <t>Gustavo:</t>
        </r>
        <r>
          <rPr>
            <sz val="9"/>
            <color indexed="81"/>
            <rFont val="Tahoma"/>
            <family val="2"/>
          </rPr>
          <t xml:space="preserve">
Range: 4.2 - 16.7</t>
        </r>
      </text>
    </comment>
    <comment ref="A837" authorId="0">
      <text>
        <r>
          <rPr>
            <b/>
            <sz val="9"/>
            <color indexed="81"/>
            <rFont val="Tahoma"/>
            <family val="2"/>
          </rPr>
          <t>Gustavo:</t>
        </r>
        <r>
          <rPr>
            <sz val="9"/>
            <color indexed="81"/>
            <rFont val="Tahoma"/>
            <family val="2"/>
          </rPr>
          <t xml:space="preserve">
Average</t>
        </r>
      </text>
    </comment>
    <comment ref="B837" authorId="0">
      <text>
        <r>
          <rPr>
            <b/>
            <sz val="9"/>
            <color indexed="81"/>
            <rFont val="Tahoma"/>
            <family val="2"/>
          </rPr>
          <t>Gustavo:</t>
        </r>
        <r>
          <rPr>
            <sz val="9"/>
            <color indexed="81"/>
            <rFont val="Tahoma"/>
            <family val="2"/>
          </rPr>
          <t xml:space="preserve">
Range: 8.3 - 26.1</t>
        </r>
      </text>
    </comment>
    <comment ref="A838" authorId="0">
      <text>
        <r>
          <rPr>
            <b/>
            <sz val="9"/>
            <color indexed="81"/>
            <rFont val="Tahoma"/>
            <family val="2"/>
          </rPr>
          <t>Gustavo:
field plus 1/2 mile on gravel road</t>
        </r>
        <r>
          <rPr>
            <sz val="9"/>
            <color indexed="81"/>
            <rFont val="Tahoma"/>
            <family val="2"/>
          </rPr>
          <t xml:space="preserve">
green forage:2.8
haylage: 1.9
corn silage: 11.7
corn grain: 1.9
soybeans: 0.7</t>
        </r>
      </text>
    </comment>
  </commentList>
</comments>
</file>

<file path=xl/comments2.xml><?xml version="1.0" encoding="utf-8"?>
<comments xmlns="http://schemas.openxmlformats.org/spreadsheetml/2006/main">
  <authors>
    <author>Gustavo Camargo</author>
    <author>Gustavo</author>
  </authors>
  <commentList>
    <comment ref="A8" authorId="0">
      <text>
        <r>
          <rPr>
            <sz val="9"/>
            <color indexed="81"/>
            <rFont val="Tahoma"/>
            <family val="2"/>
          </rPr>
          <t>Ammonia - Table 2</t>
        </r>
      </text>
    </comment>
    <comment ref="A12" authorId="0">
      <text>
        <r>
          <rPr>
            <sz val="9"/>
            <color indexed="81"/>
            <rFont val="Tahoma"/>
            <family val="2"/>
          </rPr>
          <t>Ammonia - Table 7.1</t>
        </r>
      </text>
    </comment>
    <comment ref="A14" authorId="0">
      <text>
        <r>
          <rPr>
            <sz val="9"/>
            <color indexed="81"/>
            <rFont val="Tahoma"/>
            <family val="2"/>
          </rPr>
          <t>Table 12
not specified the type of N, called total N, and has values of 40.3 for europe and 32.2 for best.</t>
        </r>
      </text>
    </comment>
    <comment ref="A16" authorId="0">
      <text>
        <r>
          <rPr>
            <sz val="9"/>
            <color indexed="81"/>
            <rFont val="Tahoma"/>
            <family val="2"/>
          </rPr>
          <t>pp. 38
40.51 plus/minus 5.7
Ammonium nitrate
Several citations summing up to this value</t>
        </r>
      </text>
    </comment>
    <comment ref="A27" authorId="0">
      <text>
        <r>
          <rPr>
            <b/>
            <sz val="9"/>
            <color indexed="81"/>
            <rFont val="Tahoma"/>
            <family val="2"/>
          </rPr>
          <t>Gustavo Camargo:</t>
        </r>
        <r>
          <rPr>
            <sz val="9"/>
            <color indexed="81"/>
            <rFont val="Tahoma"/>
            <family val="2"/>
          </rPr>
          <t xml:space="preserve">
Ammonia - Table 7.1</t>
        </r>
      </text>
    </comment>
    <comment ref="A28" authorId="0">
      <text>
        <r>
          <rPr>
            <b/>
            <sz val="9"/>
            <color indexed="81"/>
            <rFont val="Tahoma"/>
            <family val="2"/>
          </rPr>
          <t>Table 2a</t>
        </r>
      </text>
    </comment>
    <comment ref="A31" authorId="0">
      <text>
        <r>
          <rPr>
            <b/>
            <sz val="9"/>
            <color indexed="81"/>
            <rFont val="Tahoma"/>
            <family val="2"/>
          </rPr>
          <t>weighted average</t>
        </r>
        <r>
          <rPr>
            <sz val="9"/>
            <color indexed="81"/>
            <rFont val="Tahoma"/>
            <family val="2"/>
          </rPr>
          <t xml:space="preserve">
</t>
        </r>
      </text>
    </comment>
    <comment ref="A32" authorId="0">
      <text>
        <r>
          <rPr>
            <b/>
            <sz val="9"/>
            <color indexed="81"/>
            <rFont val="Tahoma"/>
            <family val="2"/>
          </rPr>
          <t>steam reforming in general</t>
        </r>
      </text>
    </comment>
    <comment ref="A35" authorId="0">
      <text>
        <r>
          <rPr>
            <b/>
            <sz val="9"/>
            <color indexed="81"/>
            <rFont val="Tahoma"/>
            <family val="2"/>
          </rPr>
          <t>Gustavo Camargo:</t>
        </r>
        <r>
          <rPr>
            <sz val="9"/>
            <color indexed="81"/>
            <rFont val="Tahoma"/>
            <family val="2"/>
          </rPr>
          <t xml:space="preserve">
55-65 range</t>
        </r>
      </text>
    </comment>
    <comment ref="A41" authorId="0">
      <text>
        <r>
          <rPr>
            <b/>
            <sz val="9"/>
            <color indexed="81"/>
            <rFont val="Tahoma"/>
            <family val="2"/>
          </rPr>
          <t>46%N content in urea</t>
        </r>
      </text>
    </comment>
    <comment ref="A46" authorId="0">
      <text>
        <r>
          <rPr>
            <b/>
            <sz val="9"/>
            <color indexed="81"/>
            <rFont val="Tahoma"/>
            <family val="2"/>
          </rPr>
          <t>Gustavo Camargo:</t>
        </r>
        <r>
          <rPr>
            <sz val="9"/>
            <color indexed="81"/>
            <rFont val="Tahoma"/>
            <family val="2"/>
          </rPr>
          <t xml:space="preserve">
pp. 38
40.51 plus/minus 5.7
Ammonium nitrate
Several citations summing up to this value</t>
        </r>
      </text>
    </comment>
    <comment ref="A49" authorId="0">
      <text>
        <r>
          <rPr>
            <b/>
            <sz val="9"/>
            <color indexed="81"/>
            <rFont val="Tahoma"/>
            <family val="2"/>
          </rPr>
          <t>34% N in AN</t>
        </r>
        <r>
          <rPr>
            <sz val="9"/>
            <color indexed="81"/>
            <rFont val="Tahoma"/>
            <family val="2"/>
          </rPr>
          <t xml:space="preserve">
</t>
        </r>
      </text>
    </comment>
    <comment ref="A54" authorId="0">
      <text>
        <r>
          <rPr>
            <sz val="9"/>
            <color indexed="81"/>
            <rFont val="Tahoma"/>
            <family val="2"/>
          </rPr>
          <t xml:space="preserve">values obtained from:
Sawyer JE, Hanna M, Petersen D. 2010. Energy Conservation in Corn Nitrogen Fertilization. Iowa State University. </t>
        </r>
      </text>
    </comment>
    <comment ref="A55" authorId="0">
      <text>
        <r>
          <rPr>
            <b/>
            <sz val="9"/>
            <color indexed="81"/>
            <rFont val="Tahoma"/>
            <family val="2"/>
          </rPr>
          <t>30% N (assumption)</t>
        </r>
        <r>
          <rPr>
            <sz val="9"/>
            <color indexed="81"/>
            <rFont val="Tahoma"/>
            <family val="2"/>
          </rPr>
          <t xml:space="preserve">
</t>
        </r>
      </text>
    </comment>
    <comment ref="A61" authorId="0">
      <text>
        <r>
          <rPr>
            <sz val="9"/>
            <color indexed="81"/>
            <rFont val="Tahoma"/>
            <family val="2"/>
          </rPr>
          <t>21% N</t>
        </r>
      </text>
    </comment>
    <comment ref="A102" authorId="0">
      <text>
        <r>
          <rPr>
            <b/>
            <sz val="9"/>
            <color indexed="81"/>
            <rFont val="Tahoma"/>
            <family val="2"/>
          </rPr>
          <t>Table 12</t>
        </r>
      </text>
    </comment>
    <comment ref="A121" authorId="0">
      <text>
        <r>
          <rPr>
            <sz val="9"/>
            <color indexed="81"/>
            <rFont val="Tahoma"/>
            <family val="2"/>
          </rPr>
          <t>45%P2O5 (assumption)</t>
        </r>
      </text>
    </comment>
    <comment ref="A123" authorId="0">
      <text>
        <r>
          <rPr>
            <sz val="9"/>
            <color indexed="81"/>
            <rFont val="Tahoma"/>
            <family val="2"/>
          </rPr>
          <t xml:space="preserve">18% P2O5 (assumption)
</t>
        </r>
      </text>
    </comment>
    <comment ref="A126" authorId="0">
      <text>
        <r>
          <rPr>
            <sz val="9"/>
            <color indexed="81"/>
            <rFont val="Tahoma"/>
            <family val="2"/>
          </rPr>
          <t>30% P2O5 (assumption)</t>
        </r>
      </text>
    </comment>
    <comment ref="A139" authorId="0">
      <text>
        <r>
          <rPr>
            <b/>
            <sz val="9"/>
            <color indexed="81"/>
            <rFont val="Tahoma"/>
            <family val="2"/>
          </rPr>
          <t>Table 12</t>
        </r>
      </text>
    </comment>
    <comment ref="A149" authorId="0">
      <text>
        <r>
          <rPr>
            <b/>
            <sz val="9"/>
            <color indexed="81"/>
            <rFont val="Tahoma"/>
            <family val="2"/>
          </rPr>
          <t>muriate of potash</t>
        </r>
        <r>
          <rPr>
            <sz val="9"/>
            <color indexed="81"/>
            <rFont val="Tahoma"/>
            <family val="2"/>
          </rPr>
          <t xml:space="preserve">
</t>
        </r>
      </text>
    </comment>
    <comment ref="A151" authorId="0">
      <text>
        <r>
          <rPr>
            <b/>
            <sz val="9"/>
            <color indexed="81"/>
            <rFont val="Tahoma"/>
            <family val="2"/>
          </rPr>
          <t>60% K2O</t>
        </r>
        <r>
          <rPr>
            <sz val="9"/>
            <color indexed="81"/>
            <rFont val="Tahoma"/>
            <family val="2"/>
          </rPr>
          <t xml:space="preserve">
</t>
        </r>
      </text>
    </comment>
    <comment ref="A274" authorId="0">
      <text>
        <r>
          <rPr>
            <b/>
            <sz val="9"/>
            <color indexed="81"/>
            <rFont val="Tahoma"/>
            <family val="2"/>
          </rPr>
          <t>slide 26</t>
        </r>
      </text>
    </comment>
    <comment ref="B354" authorId="0">
      <text>
        <r>
          <rPr>
            <b/>
            <sz val="9"/>
            <color indexed="81"/>
            <rFont val="Tahoma"/>
            <family val="2"/>
          </rPr>
          <t>Gustavo Camargo:</t>
        </r>
        <r>
          <rPr>
            <sz val="9"/>
            <color indexed="81"/>
            <rFont val="Tahoma"/>
            <family val="2"/>
          </rPr>
          <t xml:space="preserve">
Average of 4 values from table 6.1
(0.19+0.15+0.13+0.11)/4 = 0.145 kg/km
total truck load: 32,000kg
Diesel inverse density = 1.20 L / kg
0.145*1.20/32000 = 5.43e-6</t>
        </r>
      </text>
    </comment>
    <comment ref="A355" authorId="0">
      <text>
        <r>
          <rPr>
            <b/>
            <sz val="9"/>
            <color indexed="81"/>
            <rFont val="Tahoma"/>
            <family val="2"/>
          </rPr>
          <t>5% of energy requirements of a dairy farm was assumed to be allocated to produce manure. If manure is considered waste, a zero value should be used.</t>
        </r>
      </text>
    </comment>
    <comment ref="A365" authorId="1">
      <text>
        <r>
          <rPr>
            <sz val="9"/>
            <color indexed="81"/>
            <rFont val="Tahoma"/>
            <family val="2"/>
          </rPr>
          <t xml:space="preserve">Value for red clover silage. Mean from a range of 16.8 - 20.5 MJ/kg DM
</t>
        </r>
      </text>
    </comment>
    <comment ref="A383" authorId="0">
      <text>
        <r>
          <rPr>
            <sz val="9"/>
            <color indexed="81"/>
            <rFont val="Tahoma"/>
            <family val="2"/>
          </rPr>
          <t xml:space="preserve">Assumption based on 12 MJ/kg reported by Frischknecht et al. 1996.
</t>
        </r>
      </text>
    </comment>
    <comment ref="A384" authorId="0">
      <text>
        <r>
          <rPr>
            <b/>
            <sz val="9"/>
            <color indexed="81"/>
            <rFont val="Tahoma"/>
            <family val="2"/>
          </rPr>
          <t>Gustavo Camargo:</t>
        </r>
        <r>
          <rPr>
            <sz val="9"/>
            <color indexed="81"/>
            <rFont val="Tahoma"/>
            <family val="2"/>
          </rPr>
          <t xml:space="preserve">
Original value from:
Kalt and Hulsbergen 1999</t>
        </r>
      </text>
    </comment>
    <comment ref="A392" authorId="0">
      <text>
        <r>
          <rPr>
            <sz val="9"/>
            <color indexed="81"/>
            <rFont val="Tahoma"/>
            <family val="2"/>
          </rPr>
          <t xml:space="preserve">"a repair value of 0.2 means, that 20% of the initial materials of a new tractor are replaced during its lifetime. This is in addition to the materials used for maitenance."
</t>
        </r>
      </text>
    </comment>
    <comment ref="A406" authorId="0">
      <text>
        <r>
          <rPr>
            <sz val="9"/>
            <color indexed="81"/>
            <rFont val="Tahoma"/>
            <family val="2"/>
          </rPr>
          <t>megajoule per cubic meter of water times meter depth of water pumped from well.
From Lal 2004:
"Batty and Keller (1980) estimated pumping energy needed for different lift weights, and reported that energy required for surface irrigation (MJ/ha m) was 3184 for 0 m lift, 56,250 for 50m lift and 109,317 for 100m lift".
From Lal 2004:
"Lacewell and Collins (1986) noted that energy required per acre-foot of water for pumping at 45psi for 250m of lift was equivalent to 8.5 million cubic feet of natural gas, or 56 gal. of diesel or 653 kW h of electricity.</t>
        </r>
      </text>
    </comment>
    <comment ref="A409" authorId="0">
      <text>
        <r>
          <rPr>
            <sz val="9"/>
            <color indexed="81"/>
            <rFont val="Tahoma"/>
            <family val="2"/>
          </rPr>
          <t>22kW*1200m3/30m3/h</t>
        </r>
      </text>
    </comment>
    <comment ref="A410" authorId="0">
      <text>
        <r>
          <rPr>
            <sz val="9"/>
            <color indexed="81"/>
            <rFont val="Tahoma"/>
            <family val="2"/>
          </rPr>
          <t>4 * 0.25 h * 4.5 * 0.83 kg/L</t>
        </r>
      </text>
    </comment>
  </commentList>
</comments>
</file>

<file path=xl/comments3.xml><?xml version="1.0" encoding="utf-8"?>
<comments xmlns="http://schemas.openxmlformats.org/spreadsheetml/2006/main">
  <authors>
    <author>Gustavo Camargo</author>
    <author>Gustavo</author>
  </authors>
  <commentList>
    <comment ref="A56" authorId="0">
      <text>
        <r>
          <rPr>
            <b/>
            <sz val="9"/>
            <color indexed="81"/>
            <rFont val="Tahoma"/>
            <family val="2"/>
          </rPr>
          <t>Table 5</t>
        </r>
      </text>
    </comment>
    <comment ref="L61" authorId="1">
      <text>
        <r>
          <rPr>
            <sz val="9"/>
            <color indexed="81"/>
            <rFont val="Tahoma"/>
            <family val="2"/>
          </rPr>
          <t xml:space="preserve">Assumed as grains
</t>
        </r>
      </text>
    </comment>
    <comment ref="N61" authorId="1">
      <text>
        <r>
          <rPr>
            <b/>
            <sz val="9"/>
            <color indexed="81"/>
            <rFont val="Tahoma"/>
            <family val="2"/>
          </rPr>
          <t>Assumed to be tubers</t>
        </r>
      </text>
    </comment>
    <comment ref="R62" authorId="1">
      <text>
        <r>
          <rPr>
            <b/>
            <sz val="9"/>
            <color indexed="81"/>
            <rFont val="Tahoma"/>
            <family val="2"/>
          </rPr>
          <t>Heller et al. 2002</t>
        </r>
        <r>
          <rPr>
            <sz val="9"/>
            <color indexed="81"/>
            <rFont val="Tahoma"/>
            <family val="2"/>
          </rPr>
          <t xml:space="preserve">
</t>
        </r>
      </text>
    </comment>
    <comment ref="Q66" authorId="1">
      <text>
        <r>
          <rPr>
            <b/>
            <sz val="9"/>
            <color indexed="81"/>
            <rFont val="Tahoma"/>
            <family val="2"/>
          </rPr>
          <t xml:space="preserve">from Rytter 2001 and personal communication with Renato Pacaldo </t>
        </r>
      </text>
    </comment>
    <comment ref="R66" authorId="1">
      <text>
        <r>
          <rPr>
            <sz val="9"/>
            <color indexed="81"/>
            <rFont val="Tahoma"/>
            <family val="2"/>
          </rPr>
          <t xml:space="preserve">from Rytter 2001 and personal communication with Renato Pacaldo </t>
        </r>
      </text>
    </comment>
  </commentList>
</comments>
</file>

<file path=xl/comments4.xml><?xml version="1.0" encoding="utf-8"?>
<comments xmlns="http://schemas.openxmlformats.org/spreadsheetml/2006/main">
  <authors>
    <author>Gustavo Camargo</author>
    <author>Gustavo</author>
  </authors>
  <commentList>
    <comment ref="C1" authorId="0">
      <text>
        <r>
          <rPr>
            <b/>
            <sz val="9"/>
            <color indexed="81"/>
            <rFont val="Tahoma"/>
            <family val="2"/>
          </rPr>
          <t>1 - Conventional
2 - Reduced
3 - No-till
This feature is only valid for barley, corn, rye, wheat, alfalfa, red clover, soybean</t>
        </r>
      </text>
    </comment>
    <comment ref="I7" authorId="1">
      <text>
        <r>
          <rPr>
            <sz val="9"/>
            <color indexed="81"/>
            <rFont val="Tahoma"/>
            <family val="2"/>
          </rPr>
          <t>Yield DM</t>
        </r>
      </text>
    </comment>
    <comment ref="N7" authorId="1">
      <text>
        <r>
          <rPr>
            <b/>
            <sz val="9"/>
            <color indexed="81"/>
            <rFont val="Tahoma"/>
            <family val="2"/>
          </rPr>
          <t>Yield in DM</t>
        </r>
      </text>
    </comment>
    <comment ref="O7" authorId="1">
      <text>
        <r>
          <rPr>
            <sz val="9"/>
            <color indexed="81"/>
            <rFont val="Tahoma"/>
            <family val="2"/>
          </rPr>
          <t>Yield DM</t>
        </r>
      </text>
    </comment>
    <comment ref="P14" authorId="1">
      <text>
        <r>
          <rPr>
            <b/>
            <sz val="9"/>
            <color indexed="81"/>
            <rFont val="Tahoma"/>
            <family val="2"/>
          </rPr>
          <t>cuttings and setts</t>
        </r>
        <r>
          <rPr>
            <sz val="9"/>
            <color indexed="81"/>
            <rFont val="Tahoma"/>
            <family val="2"/>
          </rPr>
          <t xml:space="preserve">
</t>
        </r>
      </text>
    </comment>
    <comment ref="Q14" authorId="1">
      <text>
        <r>
          <rPr>
            <b/>
            <sz val="9"/>
            <color indexed="81"/>
            <rFont val="Tahoma"/>
            <family val="2"/>
          </rPr>
          <t>cuttings and setts</t>
        </r>
        <r>
          <rPr>
            <sz val="9"/>
            <color indexed="81"/>
            <rFont val="Tahoma"/>
            <family val="2"/>
          </rPr>
          <t xml:space="preserve">
</t>
        </r>
      </text>
    </comment>
    <comment ref="B17" authorId="1">
      <text>
        <r>
          <rPr>
            <b/>
            <sz val="9"/>
            <color indexed="81"/>
            <rFont val="Tahoma"/>
            <family val="2"/>
          </rPr>
          <t>Total fuel consumption</t>
        </r>
      </text>
    </comment>
    <comment ref="A101" authorId="0">
      <text>
        <r>
          <rPr>
            <sz val="9"/>
            <color indexed="81"/>
            <rFont val="Tahoma"/>
            <family val="2"/>
          </rPr>
          <t>Hoben JP, Gehl RJ, Millar N, Grace PR, Robertson GP. 2011. Nonlinear nitrous oxide (N2O) response to nitrogen fertilizer in on-farm corn crops of the US Midwest. Global Change Biology 17: 1140-1152.
fig. 6b</t>
        </r>
      </text>
    </comment>
  </commentList>
</comments>
</file>

<file path=xl/sharedStrings.xml><?xml version="1.0" encoding="utf-8"?>
<sst xmlns="http://schemas.openxmlformats.org/spreadsheetml/2006/main" count="3117" uniqueCount="1259">
  <si>
    <t>Value</t>
  </si>
  <si>
    <t>units</t>
  </si>
  <si>
    <t>Herbicide</t>
  </si>
  <si>
    <t>REF.</t>
  </si>
  <si>
    <t>unit</t>
  </si>
  <si>
    <t>MJ/kg</t>
  </si>
  <si>
    <t>Diesel</t>
  </si>
  <si>
    <t>REF</t>
  </si>
  <si>
    <t>Lime</t>
  </si>
  <si>
    <t>Inputs</t>
  </si>
  <si>
    <t>Quantity</t>
  </si>
  <si>
    <t>MJ/L</t>
  </si>
  <si>
    <t>Pimentel,D. 1980. Handbook of Energy Utilization in Agriculture. Boca Raton,FL: CRC Press.</t>
  </si>
  <si>
    <t>Patzek, P., 2004,Thermodynamics of the corn-ethanol biofuel cycle:Critical Reviews in Plant Sciences, in press.</t>
  </si>
  <si>
    <t>-</t>
  </si>
  <si>
    <t>Total</t>
  </si>
  <si>
    <t>Diesel 2</t>
  </si>
  <si>
    <t>Diesel 3</t>
  </si>
  <si>
    <t>Diesel 4</t>
  </si>
  <si>
    <t>Switchgrass</t>
  </si>
  <si>
    <t>Soybeans</t>
  </si>
  <si>
    <t>kg/ha</t>
  </si>
  <si>
    <t>MJ/kg of water removed</t>
  </si>
  <si>
    <t>Transportation for supplies to the farm</t>
  </si>
  <si>
    <t>Barley</t>
  </si>
  <si>
    <t>Corn</t>
  </si>
  <si>
    <t>Wheat</t>
  </si>
  <si>
    <t>Borjesson,P.I.I.1996.Energy analysis of biomass production and transportation.Biomass and Bioenergy vol. 11 n.4 pp. 305-318.</t>
  </si>
  <si>
    <t>Nitrogen 4</t>
  </si>
  <si>
    <t>Nitrogen 5</t>
  </si>
  <si>
    <t>Corn stover</t>
  </si>
  <si>
    <t>MJ/kg DM</t>
  </si>
  <si>
    <t>Miscanthus</t>
  </si>
  <si>
    <t>Nitrogen 6</t>
  </si>
  <si>
    <t>value</t>
  </si>
  <si>
    <t>Drying corn 2</t>
  </si>
  <si>
    <t>MJ/ kg of water removed</t>
  </si>
  <si>
    <t>Drying corn 3</t>
  </si>
  <si>
    <t>Drying corn 4</t>
  </si>
  <si>
    <t>Maddex,R.L. and F.W. Bakker-Arkema.1978. Reducing energy requirements for harvesting, drying and storing grain. Energy fact no.18, Extension Bull. E-1168, Mich. State Univ., East Lansing.</t>
  </si>
  <si>
    <t>Drying corn 5</t>
  </si>
  <si>
    <t>Morey,R.V., H.A. Cloud and W.E. Leuschen. 1976. Practices for the efficient utilization of energy for drying corn. Trans. ASABE 19(1) 151-155.</t>
  </si>
  <si>
    <t>seed corn 2</t>
  </si>
  <si>
    <t>Nitrogen 7</t>
  </si>
  <si>
    <t>Corn silage N</t>
  </si>
  <si>
    <t>quantity</t>
  </si>
  <si>
    <t>Barley N</t>
  </si>
  <si>
    <t>Alfalfa N</t>
  </si>
  <si>
    <t>Nitrogen 8</t>
  </si>
  <si>
    <t>Nitrogen 9</t>
  </si>
  <si>
    <t>Shapouri H., J. A. Duffield, A. Mcaloon. 2004. The 2001 Net Energy Balance of Corn-Ethanol. paper presented at the Corn Utilization and Technology Conference, Indianapolis, June 7-9 .</t>
  </si>
  <si>
    <t>Nitrogen 11</t>
  </si>
  <si>
    <t>Lime 1</t>
  </si>
  <si>
    <t>Lime 2</t>
  </si>
  <si>
    <t>Lime 3</t>
  </si>
  <si>
    <t>Lime 4</t>
  </si>
  <si>
    <t>Corn Insecticides rate 2</t>
  </si>
  <si>
    <t>Corn Herbicides rate 1</t>
  </si>
  <si>
    <t>Corn Herbicides rate 2</t>
  </si>
  <si>
    <t>Corn Herbicides rate 3</t>
  </si>
  <si>
    <t>Corn Herbicides rate 4</t>
  </si>
  <si>
    <t>Corn Herbicides rate 5</t>
  </si>
  <si>
    <t>Corn Herbicides rate 6</t>
  </si>
  <si>
    <t>Corn Herbicides rate 7</t>
  </si>
  <si>
    <t>Corn Herbicides rate 8</t>
  </si>
  <si>
    <t>Corn Herbicides rate 9</t>
  </si>
  <si>
    <t>Insecticides energy 1</t>
  </si>
  <si>
    <t>Insecticides energy 2</t>
  </si>
  <si>
    <t>Insecticides energy 3</t>
  </si>
  <si>
    <t>Insecticides energy 4</t>
  </si>
  <si>
    <t>Herbicides energy 1</t>
  </si>
  <si>
    <t>Herbicides energy 2</t>
  </si>
  <si>
    <t>Herbicides energy 3</t>
  </si>
  <si>
    <t>Herbicides energy 4</t>
  </si>
  <si>
    <t>Herbicides energy 5</t>
  </si>
  <si>
    <t>Corn Insecticides rate 3</t>
  </si>
  <si>
    <t>Corn Insecticides rate 4</t>
  </si>
  <si>
    <t>Corn Insecticides rate 5</t>
  </si>
  <si>
    <t>Corn Insecticides rate 6</t>
  </si>
  <si>
    <t>Corn Insecticides rate 7</t>
  </si>
  <si>
    <t>Corn Insecticides rate 8</t>
  </si>
  <si>
    <t>seed corn 3</t>
  </si>
  <si>
    <t>seed corn 4</t>
  </si>
  <si>
    <t>seed corn 5</t>
  </si>
  <si>
    <t>seed corn 6</t>
  </si>
  <si>
    <t>seed corn 7</t>
  </si>
  <si>
    <t>N</t>
  </si>
  <si>
    <t>Transportation of inputs</t>
  </si>
  <si>
    <t>Drying</t>
  </si>
  <si>
    <t>West, T. O., and G. Marland. 2002. A synthesis of carbon sequestration, carbon emissions, and net carbon flux in agriculture: comparing tillage practices in the United States.Agriculture, Ecosystems &amp; Environment 91:217–232.</t>
  </si>
  <si>
    <t>Crops</t>
  </si>
  <si>
    <t>Field area (ha)</t>
  </si>
  <si>
    <t>seed wheat 1</t>
  </si>
  <si>
    <t>seed soybeans 1</t>
  </si>
  <si>
    <t>Red Clover</t>
  </si>
  <si>
    <t>Diesel 6</t>
  </si>
  <si>
    <t>Soybean Herbicides rate 1</t>
  </si>
  <si>
    <t>Soybean Herbicides rate 2</t>
  </si>
  <si>
    <t>Soybean Insecticides rate 1</t>
  </si>
  <si>
    <t>Soybean Insecticides rate 2</t>
  </si>
  <si>
    <t>Wheat Herbicides rate 1</t>
  </si>
  <si>
    <t>Wheat Herbicides rate 2</t>
  </si>
  <si>
    <t>Wheat Insecticides rate 1</t>
  </si>
  <si>
    <t>Wheat Insecticides rate 2</t>
  </si>
  <si>
    <t>Wheat Insecticides rate 3</t>
  </si>
  <si>
    <t xml:space="preserve">Beuerlein, J. 2008. Bushels, Test Weights and Calculations. Ohio State University Fact Sheet. http://ohioline.osu.edu/agf-fact/0503.html Accessed August 2008. </t>
  </si>
  <si>
    <t>Graphs</t>
  </si>
  <si>
    <t>P</t>
  </si>
  <si>
    <t>K</t>
  </si>
  <si>
    <t>Insecticide</t>
  </si>
  <si>
    <t>Soybeans Insecticides Rate</t>
  </si>
  <si>
    <t>Seed</t>
  </si>
  <si>
    <t>Rye(sil.)</t>
  </si>
  <si>
    <t>Wheat(sil)</t>
  </si>
  <si>
    <t>Summary</t>
  </si>
  <si>
    <t>Unit</t>
  </si>
  <si>
    <t xml:space="preserve"> Energy </t>
  </si>
  <si>
    <t xml:space="preserve"> Energy input</t>
  </si>
  <si>
    <t xml:space="preserve"> Energy output</t>
  </si>
  <si>
    <t>Alfalfa</t>
  </si>
  <si>
    <t>Rankin, M. 2008. Determining the optimum alfalfa seeding rate . University of Wisconsin. http://www.uwex.edu/ces/crops/uwforage/AlfSeedingRate-FOF.pdf</t>
  </si>
  <si>
    <t>Diesel 7</t>
  </si>
  <si>
    <t>Chancellor, W.J.1978.  The role of fuel and electrical energy in increasing production from traditionally based agriculture. Trans. ASAE,21,1060-7.</t>
  </si>
  <si>
    <t>Brown, R.C.2003. Biorenewable resources: engineering new products from agriculture.Blackwell publishing company.</t>
  </si>
  <si>
    <t>Heating Value (HHV)</t>
  </si>
  <si>
    <t>Nemecek, T. and S. Erzinger.2003. Agricultural production systems. Ecoinvent.org.http://www.ecoinvent.org/fileadmin/documents/en/presentation_papers/agriculture_DF_eng.pdf</t>
  </si>
  <si>
    <t>seed wheat 3</t>
  </si>
  <si>
    <t>seed barley 2</t>
  </si>
  <si>
    <t>seed barley 1</t>
  </si>
  <si>
    <t>seed soybeans 2</t>
  </si>
  <si>
    <t>seed barley 3</t>
  </si>
  <si>
    <t>Weed control</t>
  </si>
  <si>
    <t>seed barley 4</t>
  </si>
  <si>
    <t>Zentner,R.P. and G.J. Sonntag. 1998. Alternative crop production systems: Economic and energy analysis component. CSAGPA Final Report, AAFC/SPARC, Swift Current.</t>
  </si>
  <si>
    <t>seed rye 1</t>
  </si>
  <si>
    <t>seed rye 2</t>
  </si>
  <si>
    <t>seed wheat 4</t>
  </si>
  <si>
    <t>Canola</t>
  </si>
  <si>
    <t>Monsanto . Roundup ready winter canola. http://www.monsanto.com/monsanto/ag_products/pdf/input_traits/winter_Canola.pdf</t>
  </si>
  <si>
    <t>Richards,I.A.2000. Energy balances in the growth of oilseed rape for biodiesel and wheat for bioethanol. BABFO - British Association for Bio Fuels and Oils. http://bloomingfutures.com/uploads/Levington%20Agricultural%20Report%202000.pdf</t>
  </si>
  <si>
    <t>Gover,M.P.,S.A. Collings, G.S.Hitchcock, D.P.Moon and G.T. Wilkins.1996. Alternative Road Transport Fuels-A preliminary Life Cycle Study for the UK. Vol. 2. ETSU, London,HMSO.</t>
  </si>
  <si>
    <t>seed wheat 5</t>
  </si>
  <si>
    <t>Corn silage half milk line</t>
  </si>
  <si>
    <t>http://agguide.agronomy.psu.edu/cm/sec4/sec46b.cfm</t>
  </si>
  <si>
    <t>seed soybeans 3</t>
  </si>
  <si>
    <t>Sheehan J, Camobreco V, Duffield J, Graboski M, Shapouri H. 1998.Life cycle inventory of biodiesel and petroleum diesel for use in an urban bus. NREL/SR-580-24089.Colorado: National Renewable Energy Laboratory.</t>
  </si>
  <si>
    <t>Bushel crop Moisture content</t>
  </si>
  <si>
    <t>Total moisture content</t>
  </si>
  <si>
    <t>Crop energy</t>
  </si>
  <si>
    <t>Seed energy</t>
  </si>
  <si>
    <t>Lime energy</t>
  </si>
  <si>
    <t>Diesel 1</t>
  </si>
  <si>
    <t>Farm</t>
  </si>
  <si>
    <t>Nielsen, R.L. 1995. Questions relative to harvesting &amp; storing corn stover. Agronomy Extension publication AGRY - 95-09. Purdue University. http://www.agry.purdue.edu/ext/corn/pubs/agry9509.htm</t>
  </si>
  <si>
    <t>Removal rate</t>
  </si>
  <si>
    <t>seed rye 3</t>
  </si>
  <si>
    <t>seed wheat 6</t>
  </si>
  <si>
    <t>seed red clover 1</t>
  </si>
  <si>
    <t>seed red clover 2</t>
  </si>
  <si>
    <t>Corn grain</t>
  </si>
  <si>
    <t>Corn silage</t>
  </si>
  <si>
    <t>Wheat silage</t>
  </si>
  <si>
    <t>Rye silage</t>
  </si>
  <si>
    <t>McLaughlin, S.B., R. Samson, D. Bransby, and A. Weislogel. 1996. Evaluating physical, chemical, and energetic properties of perennial grasses as biofuels. Proc. Bioenergy 96, Nashville, TN, Sept. 1996. p. 1–8</t>
  </si>
  <si>
    <t>Wu, H. 2004. Alfalfa drying properties and technologies - In review. Nature and science 2(4) 65-67.</t>
  </si>
  <si>
    <t>seed rye 4</t>
  </si>
  <si>
    <t>Duiker, S.W. and W.S. Curran. 2005. Rye cover crop management for corn production in the northern mid-atlantic region. Agron.J. 97:1413-1418.</t>
  </si>
  <si>
    <t>Transp. inputs</t>
  </si>
  <si>
    <t>Crop production</t>
  </si>
  <si>
    <t>Sugarbeets</t>
  </si>
  <si>
    <t>Elk mound seed company. http://www.megabuckfoodplot.com/Merchant2/merchant.mvc?Screen=PROD&amp;Product_Code=SugarBeets1lb&amp;Category_Code=</t>
  </si>
  <si>
    <t>seed sugar beet 1</t>
  </si>
  <si>
    <t>seed sugar beet 2</t>
  </si>
  <si>
    <t>Harris,B. and P. Barry. 2004. The effects of seed treatment and seedling rate on the yield and quality of sugarbeet. DAF, Backweston, Leixlip,Co,Kildare and University College Dublin, Lyons, New Castle, Co Dublin. http://www.agresearchforum.com/publicationsarf/2004/page060.pdf</t>
  </si>
  <si>
    <t>OMAFRA.2002. Herbicide recommendation for sugar beets: postemergence broadleaf herbicide.http://www.omafra.gov.on.ca/english/crops/pub75/13sbepbh.htm</t>
  </si>
  <si>
    <t>Gibson, L. and S. Barnhart. 2007. Miscanthus hybrids for biomass production. Department of agronomy. Iowa State University.http://www.extension.iastate.edu/Publications/AG201.pdf</t>
  </si>
  <si>
    <t>Danalatos, N.G.,S.V. Archontoulis, I. Mitsios. 2006. Potential growth and biomass productivity of Miscanthus x Giganteus as affected by plant density and N-fertilization in central Greece. Biomass and bioenergy 31, 145-152.</t>
  </si>
  <si>
    <r>
      <t>kg CO</t>
    </r>
    <r>
      <rPr>
        <vertAlign val="subscript"/>
        <sz val="11"/>
        <color theme="1"/>
        <rFont val="Calibri"/>
        <family val="2"/>
        <scheme val="minor"/>
      </rPr>
      <t>2</t>
    </r>
    <r>
      <rPr>
        <sz val="11"/>
        <color theme="1"/>
        <rFont val="Calibri"/>
        <family val="2"/>
        <scheme val="minor"/>
      </rPr>
      <t>e/kg N</t>
    </r>
  </si>
  <si>
    <r>
      <t>kg CO</t>
    </r>
    <r>
      <rPr>
        <vertAlign val="subscript"/>
        <sz val="11"/>
        <color theme="1"/>
        <rFont val="Calibri"/>
        <family val="2"/>
        <scheme val="minor"/>
      </rPr>
      <t>2</t>
    </r>
    <r>
      <rPr>
        <sz val="11"/>
        <color theme="1"/>
        <rFont val="Calibri"/>
        <family val="2"/>
        <scheme val="minor"/>
      </rPr>
      <t>e/kg</t>
    </r>
  </si>
  <si>
    <r>
      <t>kg CO</t>
    </r>
    <r>
      <rPr>
        <vertAlign val="subscript"/>
        <sz val="11"/>
        <color theme="1"/>
        <rFont val="Calibri"/>
        <family val="2"/>
        <scheme val="minor"/>
      </rPr>
      <t>2</t>
    </r>
    <r>
      <rPr>
        <sz val="11"/>
        <color theme="1"/>
        <rFont val="Calibri"/>
        <family val="2"/>
        <scheme val="minor"/>
      </rPr>
      <t>e/MJ</t>
    </r>
  </si>
  <si>
    <t>Miscanthus N 1</t>
  </si>
  <si>
    <t>Miscanthus N 2</t>
  </si>
  <si>
    <t>Phosphorus 1</t>
  </si>
  <si>
    <t>Phosphorus 2</t>
  </si>
  <si>
    <t>Potassium 1</t>
  </si>
  <si>
    <t>Potassium 2</t>
  </si>
  <si>
    <t>Wheat straw</t>
  </si>
  <si>
    <t>Phosphorus 3</t>
  </si>
  <si>
    <t>Potassium 3</t>
  </si>
  <si>
    <t>Herbicide 1</t>
  </si>
  <si>
    <t>Herbicide 2</t>
  </si>
  <si>
    <r>
      <t>kg CO</t>
    </r>
    <r>
      <rPr>
        <vertAlign val="subscript"/>
        <sz val="11"/>
        <color theme="1"/>
        <rFont val="Calibri"/>
        <family val="2"/>
        <scheme val="minor"/>
      </rPr>
      <t>2</t>
    </r>
    <r>
      <rPr>
        <sz val="11"/>
        <color theme="1"/>
        <rFont val="Calibri"/>
        <family val="2"/>
        <scheme val="minor"/>
      </rPr>
      <t>e/kg seed</t>
    </r>
  </si>
  <si>
    <t>Sugar beets</t>
  </si>
  <si>
    <t>Kumhala,F., v. Prosek, M. Kroulik, Z. Kviz. 2008. Parallel plate mass flow sensor for forage and sugar beet. 200 ASABE Annual International meeting. Providence, Rhode Island.</t>
  </si>
  <si>
    <t>Miscanthus N 3</t>
  </si>
  <si>
    <t>Jones, M.B. and M.Walsh.2001. Miscanthus for energy and fibre. Published by earthscan, 192 pages.</t>
  </si>
  <si>
    <t>Shmer,M.R.,K.P. Vogel, R.B. Mitchell, and R.K.Perrin. 2008. Net energy of cellulosic ethanol from switchgrass. PNAS vol.105 464-469.</t>
  </si>
  <si>
    <t>seed sugar beet 3</t>
  </si>
  <si>
    <t>Erdal, G., K. Esengun, H. Erdal, O. Gunduz. 2007. Energy use and economical analysis of sugar beet production in Tokat province of Turkey. Energy 32, 35-41.</t>
  </si>
  <si>
    <t>Sugar beet herbicide rate 2</t>
  </si>
  <si>
    <t>Sugar beet herbicide rate 1</t>
  </si>
  <si>
    <t>Sugar beet insecticide rate</t>
  </si>
  <si>
    <t>Haciseferofullari, H., M. Acaroglu, I. Gezer. 2003. Determination of the energy balance of the sugar beet plant. Energy sources, 25: 15-22.</t>
  </si>
  <si>
    <t>Sugar beet</t>
  </si>
  <si>
    <t>Sugar beet herbicide rate 3</t>
  </si>
  <si>
    <t>Sugar beet herbicide rate 4</t>
  </si>
  <si>
    <t>seed sugar beet 4</t>
  </si>
  <si>
    <t>Kaltschmitt, M., G.A. Reinhardt. 1997. "Nachwachsende energietrager - Grudlagen, verfaben, okologische bilanzierung". (Renewable energy sources, basis, processess and ecological balance). Vieweg, Branschweig/Weisbaden, Germany</t>
  </si>
  <si>
    <t>Mortimer, N.D., P. Cormack, M.A. Elsayed and R.E. Horne.2002. Evaluation of the comparative energy, global warming and social costs and benefits of biodiesel. Resources research unit, Sheffield Hallan University, United Kingdom.</t>
  </si>
  <si>
    <t>Phosphorus 4</t>
  </si>
  <si>
    <t>Potassium 4</t>
  </si>
  <si>
    <t>Herbicide 3</t>
  </si>
  <si>
    <t>Miscanthus N 4</t>
  </si>
  <si>
    <t>Bullard, M. and P. Metcalfe. 2001. Estimating the energy requirements and CO2 emissions from production of the perennial grasses miscanthus, switchgrass and reed canary grass. Report ETSU, Energy technology support unit, Harwell, United Kingdom.</t>
  </si>
  <si>
    <t>Advance (bromozylnil/ioxynil/fluroxynil)</t>
  </si>
  <si>
    <t>Trifolex-Tra (MCPA + MCPB)</t>
  </si>
  <si>
    <t>Miscanthus pesticides</t>
  </si>
  <si>
    <t>Advance</t>
  </si>
  <si>
    <t>Trifolex</t>
  </si>
  <si>
    <t>Glyphosate</t>
  </si>
  <si>
    <t>Miscanthus 1</t>
  </si>
  <si>
    <t>Miscanthus 2</t>
  </si>
  <si>
    <t>Wheat Insecticides rate 4</t>
  </si>
  <si>
    <t>seed wheat 7</t>
  </si>
  <si>
    <t>kg stover/kg corn</t>
  </si>
  <si>
    <t>kg straw/kg wheat</t>
  </si>
  <si>
    <t>Snyder, C.S., T.W. Bruulsema, and T.L. Jensen. 2007. Greenhouse gas emissions from cropping systems and the influence of fertilizer management—a literature review. International Plant Nutrition Institute, Norcross, Georgia, U.S.A. (Data from Wang, M. 2007. The Greenhouse Gases, Regulated Emissions, and Energy Use in Transportation (GREET) Model. Argonne National Laboratory, Chicago, IL. http://www.transportation.anl.gov/software/GREET/index.html)</t>
  </si>
  <si>
    <t>S.Beet tops</t>
  </si>
  <si>
    <t>Residue/grain ratio</t>
  </si>
  <si>
    <t>Posselius, J.H. and B.A. Stout. 1982. Crop residue availability for fuel. In: Robinson, D.W. and R.C. Mollan. Energy management and agriculture. Proceedings of the first international summer school in agriculture held in co-operation with the W.K. Kellogg foundation.</t>
  </si>
  <si>
    <t>Phosphate 1</t>
  </si>
  <si>
    <t>Phosphate 2</t>
  </si>
  <si>
    <t>Phosphate 3</t>
  </si>
  <si>
    <t>Phosphate 4</t>
  </si>
  <si>
    <t>Phosphate 5</t>
  </si>
  <si>
    <t>Phosphate 6</t>
  </si>
  <si>
    <t>Phosphate 7</t>
  </si>
  <si>
    <t>Phosphate 8</t>
  </si>
  <si>
    <t>Phosphate 9</t>
  </si>
  <si>
    <t>Phosphate 10</t>
  </si>
  <si>
    <t>Phosphate 11</t>
  </si>
  <si>
    <t>Phosphate 12</t>
  </si>
  <si>
    <t>Wang, M. 2001.Development and use of GREET 1.6 fuel-cycle model for transportation fuels and vehicle technologies. Tech. Rep. ANL/ESD/TM-163, Argonne National Laboratory, Argonne, IL, 2001. www.transportation.anl.gov/pdfs/TA/153.pdf.</t>
  </si>
  <si>
    <t>Hall,R.G.2009.Grain moisture conversion to standard weights. South Dakota State University. http://plantsci.sdstate.edu/rowcrops/files/Grain%20moisture%20conversions%20to%20standard%20weights.pdf - acessed in february 2009.</t>
  </si>
  <si>
    <t>Red clover</t>
  </si>
  <si>
    <t>EIA. 2007. Voluntary reporting of greenhouse gases program: fuel and energy sources codes and emission coefficients. Washington,D.C.: Energy Information Administration. Available at: http://www.eia.doe.gov/oiaf/1605/coefficients.html. Accessed at February 2009.</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</si>
  <si>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</si>
  <si>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</si>
  <si>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</si>
  <si>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r>
      <t>kg CO</t>
    </r>
    <r>
      <rPr>
        <vertAlign val="subscript"/>
        <sz val="11"/>
        <color theme="1"/>
        <rFont val="Calibri"/>
        <family val="2"/>
        <scheme val="minor"/>
      </rPr>
      <t>2</t>
    </r>
    <r>
      <rPr>
        <sz val="11"/>
        <color theme="1"/>
        <rFont val="Calibri"/>
        <family val="2"/>
        <scheme val="minor"/>
      </rPr>
      <t>e/L diesel</t>
    </r>
  </si>
  <si>
    <t>NDSU Extension Service. 2009.Bushel weights and suggested seeding rates for various crops.Accessed in January 2009. http://www.ag.ndsu.edu/procrop/sds/susrvc04.htm</t>
  </si>
  <si>
    <t>PSU Agronomy guide.2008. College of Agricultural sciences. The Pennsylvania State University. http://agguide.agronomy.psu.edu/</t>
  </si>
  <si>
    <t>Collura,S., B. Azambre, G. Finqueneisel, T. Zimny, and J.V. Weber. 2006. Miscanthus x Giganteus straw and pellets as sustainable fuels, combustion and emission tests. Environ. Chem. Lett. 4: 75-78.</t>
  </si>
  <si>
    <t>Aakre,P. 2009. Farm scale biodiesel/SVO research. University of Minnesota. Presentation: http://www.cleanenergyresourceteams.org/files/CERTs_presntations_NWCERT_CampusForum_Aakre_Biodiesel.pdf</t>
  </si>
  <si>
    <t>Heating value</t>
  </si>
  <si>
    <t>Greenhouse gases</t>
  </si>
  <si>
    <t>Total farmland GHG production</t>
  </si>
  <si>
    <t>Diesel used</t>
  </si>
  <si>
    <t>Miscanthus N 5</t>
  </si>
  <si>
    <t>Miscanthus 3</t>
  </si>
  <si>
    <t>Miscanthus 4</t>
  </si>
  <si>
    <t>Miscanthus 5</t>
  </si>
  <si>
    <t>Clifton-Brown, J.C., I. Lewandowski, B. Andersson, G. Basch, D.G. Christian, J.B. Kjeldsen, U. Jorgensen, J.V. Mortensen, A.B. Riche, K. Schwarz, K. Tayebi, and F. Teixeira. 2001. Performance of 15 Miscanthus genotypes at five sites in Europe. Agron. J. 93: 1013-1019.</t>
  </si>
  <si>
    <t>Miscanthus 6</t>
  </si>
  <si>
    <t>Heaton, E.A., J. Clifton-Brown, T.B. Voigt, M.B. Jones, and S.P. Long. 2004. Miscanthus for renewable energy generation: european union experience and projections for Illinois. Mitigation and Adaptation Strategies for Global Change 9. pp. 433-451.</t>
  </si>
  <si>
    <t>Harland, J.I., C.K. Jones and C. Hufford. 2006. Co-products. In: Draycott, A.P. (ed.). Sugar beet. World agriculture series. Blackwell publishing. pp.443-463.</t>
  </si>
  <si>
    <t>Mg WM/Mg beet WM</t>
  </si>
  <si>
    <t>seed canola 1</t>
  </si>
  <si>
    <t>seed canola 2</t>
  </si>
  <si>
    <t>seed canola 3</t>
  </si>
  <si>
    <t>seed canola 4</t>
  </si>
  <si>
    <t>Auri Fuels Initiative.2009. Agricultural Renewable Solid Fuels Data - http://www.auri.org/research/fuels/pdfs/fuels.pdf</t>
  </si>
  <si>
    <t>Teel, A. and S. Barnhart. 2003. Switchgrass seeding recommendation for the production of biomass fuel in southern Iowa. Iowa State University Extension. PM-1773. http://www.extension.iastate.edu/Publications/PM1773.pdf</t>
  </si>
  <si>
    <t>Muller, R. E.. 1992. Energy input-output simulations of crop production, in Energy in World Agriculture, ed. Peart,R. M. and Brook, R. C., Vol. 5. Elsevier, Amsterdam, 1992.</t>
  </si>
  <si>
    <t>Graboski, M. 2002.Fossil energy use in the manufacture of corn ethanol. National Corn Growers Association,Washington, DC, 2002. Also available at www.ncga.com/ethanol/main.</t>
  </si>
  <si>
    <t>Wang M. GREET 1.6—transportation fuel-cycle model. Illinois, USA: Argonne National Laboratory; 2000.</t>
  </si>
  <si>
    <t>Nitrogen 1</t>
  </si>
  <si>
    <t>Nitrogen 2</t>
  </si>
  <si>
    <t>Nitrogen 10</t>
  </si>
  <si>
    <t>Mean</t>
  </si>
  <si>
    <t>Number of estimates in the population</t>
  </si>
  <si>
    <t>Standard Deviation</t>
  </si>
  <si>
    <t>Nitrogen energy stats</t>
  </si>
  <si>
    <t>95% confidence region</t>
  </si>
  <si>
    <t>Phophate energy stats</t>
  </si>
  <si>
    <t>Insecticide energy stats</t>
  </si>
  <si>
    <t>Herbicide energy stats</t>
  </si>
  <si>
    <t>Switchgrass Herbicides Rate</t>
  </si>
  <si>
    <t>Canola Herbicides Rate</t>
  </si>
  <si>
    <t>Nitrogen production 1</t>
  </si>
  <si>
    <t>Nitrogen production 2</t>
  </si>
  <si>
    <t>Nitrogen production 3</t>
  </si>
  <si>
    <t>Nitrogen production 4</t>
  </si>
  <si>
    <t>Nitrogen production 5</t>
  </si>
  <si>
    <t>Herbicide 4</t>
  </si>
  <si>
    <t>No. estimates in the population</t>
  </si>
  <si>
    <t>Seed corn energy stats</t>
  </si>
  <si>
    <t>Seed wheat energy stats</t>
  </si>
  <si>
    <t>Seed barley energy stats</t>
  </si>
  <si>
    <t>Seed canola energy stats</t>
  </si>
  <si>
    <t>Seed soybean energy stats</t>
  </si>
  <si>
    <t>Switchgrass seed energy stats</t>
  </si>
  <si>
    <t>Clover seed energy stats</t>
  </si>
  <si>
    <t>Sugar beet seed energy stats</t>
  </si>
  <si>
    <t>Soybeans Herbicides Rate stats</t>
  </si>
  <si>
    <t>Corn insecticide rate stats</t>
  </si>
  <si>
    <t>Corn Herbicides Rate stats</t>
  </si>
  <si>
    <t>Wheat Herbicides Rate stats</t>
  </si>
  <si>
    <t>Wheat Insecticide Rate stats</t>
  </si>
  <si>
    <t>Sugar beets N rates</t>
  </si>
  <si>
    <t>Sugar beet Pesticides Rate stats</t>
  </si>
  <si>
    <t>Miscanthus N rate stats</t>
  </si>
  <si>
    <t>Nitrogen production 6</t>
  </si>
  <si>
    <t>Insecticide 2</t>
  </si>
  <si>
    <t>kg CO2e/L diesel</t>
  </si>
  <si>
    <t>Miscanthus yield stats</t>
  </si>
  <si>
    <t>EIA. 1999. Annual energy outlook 2000, Apendendix H, DOE/EIA-0383 (2000). US Department of Energy, Energy Information Administration, Washington,DC, p.243.</t>
  </si>
  <si>
    <t>Convert C to CO2</t>
  </si>
  <si>
    <t>Lal, R. 2004. Carbon emissions from farm operations. Environmental International 30, pp. 981 - 990.</t>
  </si>
  <si>
    <r>
      <t>kg CO</t>
    </r>
    <r>
      <rPr>
        <vertAlign val="subscript"/>
        <sz val="11"/>
        <color theme="1"/>
        <rFont val="Calibri"/>
        <family val="2"/>
        <scheme val="minor"/>
      </rPr>
      <t>2</t>
    </r>
    <r>
      <rPr>
        <sz val="11"/>
        <color theme="1"/>
        <rFont val="Calibri"/>
        <family val="2"/>
        <scheme val="minor"/>
      </rPr>
      <t>/kg</t>
    </r>
  </si>
  <si>
    <t>PSU Agronomy guide - soil fertility management. Fertilizer recommendations. http://agguide.agronomy.psu.edu/cm/pdf/table1-2-5.pdf</t>
  </si>
  <si>
    <t>Sheehan,J., A. Aden, K. Paustian, K. Killian, J. Brenner, M. Walsh, and R. Nelson. 2004. Energy and environmental aspects of using corn stover for fuel ethanol. Journal of Industrial Ecology 7: 117 - 146.</t>
  </si>
  <si>
    <t>Soybean</t>
  </si>
  <si>
    <t>Tillage</t>
  </si>
  <si>
    <t>CT</t>
  </si>
  <si>
    <t xml:space="preserve">Corn grain </t>
  </si>
  <si>
    <t>RT</t>
  </si>
  <si>
    <t>NT</t>
  </si>
  <si>
    <t>Mrini, M., F. Senhaji, and D. Pimentel. 2002. Energy analysis of sugar beet production under traditional and intensive farming systems and impacts on sustainable agriculture in Morocco. Journal of sustainable agriculture, vol. 20.</t>
  </si>
  <si>
    <t>seed corn 1</t>
  </si>
  <si>
    <t>Lime GHG stats</t>
  </si>
  <si>
    <t>Herbicide GHG stats</t>
  </si>
  <si>
    <t>Clark, A.2007. Managing cover crops profitably.Sustainable Agriculture Network http://www.sare.org/publications/covercrops/covercrops.pdf</t>
  </si>
  <si>
    <t>Elsayed, M.A., N.D. Mortimer and R. Matthews. 2003. Carbon and energy balances for a range of biofuels options: Interin report. Report no. 21, Resources Research Unit, Sheffield Hallan University, Sheffield, United Kingdon.</t>
  </si>
  <si>
    <t>US Office of Technology Assessment. 1990. Energy use and the US Economy, OTA-BP-E-57. US Congress, Washington, DC.</t>
  </si>
  <si>
    <t>Sugar beet herbicide rate 5</t>
  </si>
  <si>
    <t>Boyles,M. 2009.Canola Project Specialist. Oklahoma State University. http://www.canola.okstate.edu/commonquestions/index.htm</t>
  </si>
  <si>
    <t>Pimentel,D. and T. W. Patzek.2005.Ethanol Production Using Corn, Switchgrass, and Wood;Biodiesel Production Using Soybean and Sunflower.Natural Resources Research, Vol. 14, No. 1.</t>
  </si>
  <si>
    <t>Kim, S., B. Dale, R. Jenkins. 2009. Life cycle Assessment of corn grain and corn stover in the United States. Int. J. LCA 14:160 - 174. DOI 10.1007/s11367-008-0054-4.</t>
  </si>
  <si>
    <t>Kongshaug,G. 1998. Energy Consumption and Greenhouse Gas Emissions in Fertilizer Production. IFA Technical Conference, Marrakech,Morocco, 28 September-1 October, 1998, 7pp.</t>
  </si>
  <si>
    <t>Barley straw</t>
  </si>
  <si>
    <t>Spraying</t>
  </si>
  <si>
    <t>Corn stover harvesting</t>
  </si>
  <si>
    <t>Farrell, A.E., R.J. Plevin, B.T. Tuner, A.D. Jones, M. O’Hare, D.M. Kamen.2006. Ethanol can contribute to energy and environmental goals. Science vol. 301 – 506-508.</t>
  </si>
  <si>
    <t>Residual nitrogen contribution from legumes</t>
  </si>
  <si>
    <t>First year after clover or trefoil</t>
  </si>
  <si>
    <t>First year after alfalfa</t>
  </si>
  <si>
    <t>First year after soybean harvested for grain</t>
  </si>
  <si>
    <t>kg N / kg soybeans</t>
  </si>
  <si>
    <t>kg N / ha</t>
  </si>
  <si>
    <t>Outputs (farm total)</t>
  </si>
  <si>
    <t>Net</t>
  </si>
  <si>
    <t>Crop moisture at harvest(%)</t>
  </si>
  <si>
    <t>Crop moisture at storage(%)</t>
  </si>
  <si>
    <t>Total farmland</t>
  </si>
  <si>
    <t>Robertson, G., and P.R. Grace. 2004. Greenhouse gas fluxes in tropical and temperate agriculture: the need for full-cost accounting of global warming potentials. Environment, Development and Sustainability 6:51-63.</t>
  </si>
  <si>
    <t>Corn(sil.)</t>
  </si>
  <si>
    <t>Wheat(sil.)</t>
  </si>
  <si>
    <t>Crop higher heating value (HHV)</t>
  </si>
  <si>
    <t xml:space="preserve"> Net energy value</t>
  </si>
  <si>
    <t xml:space="preserve"> Net energy ratio</t>
  </si>
  <si>
    <t>Energy Analysis</t>
  </si>
  <si>
    <t>Greenhouse gas emissions analysis</t>
  </si>
  <si>
    <t>On farm fuel use</t>
  </si>
  <si>
    <t>Crop System</t>
  </si>
  <si>
    <t>HHV inputs</t>
  </si>
  <si>
    <t>HHV outputs</t>
  </si>
  <si>
    <t>HHV net</t>
  </si>
  <si>
    <t>Alfalfa straw</t>
  </si>
  <si>
    <t>Crop yields</t>
  </si>
  <si>
    <t>Diesel energy</t>
  </si>
  <si>
    <t>de Oliveira, M. E. D., B. E. Vaughan, and E. J. Rykiel Jr.2005.Ethanol as Fuel: Energy,Carbon Dioxide Balances,and Ecological Footprint. BioScience 55,593.</t>
  </si>
  <si>
    <t>Walsh,M.E.; Becker, D. 1996. Biocost: ASoftware Program to Estimate the Cost of Producing Bioenergy Crops. BIOENERGY ’96 -Proceedings of the Seventh National Bioenergy Conference:Partnerships to Develop and Apply Biomass Technologies,Nashville, TN, September 15-20, 1996.</t>
  </si>
  <si>
    <t>Lewandowski, I.,A. Kicherer and P. Vonier. 1995. CO2 - Balance for the cultivation and combustion of Miscanthus. Biomass and Bioenergy, vol. 8 No.2 pp. 81-90.</t>
  </si>
  <si>
    <t>Christian, D.G., P.R. Poulton, A.B. Riche, and N.E. Yates. 1997. The recovery of 15N-labelled fertilizer applied to miscanthus x giganteus. Biomass and bioenergy 12, pp. 21-24.</t>
  </si>
  <si>
    <t>seed wheat 2</t>
  </si>
  <si>
    <t>seed red clover 3</t>
  </si>
  <si>
    <t>Insecticide 1</t>
  </si>
  <si>
    <t>Crop Moisture</t>
  </si>
  <si>
    <t>Fertilizer rates</t>
  </si>
  <si>
    <t>Pesticides rates</t>
  </si>
  <si>
    <t>Fuel consumption</t>
  </si>
  <si>
    <t>Fertilizer energy</t>
  </si>
  <si>
    <t>Pesticide energy</t>
  </si>
  <si>
    <t>Fuel energy</t>
  </si>
  <si>
    <t>Conversions</t>
  </si>
  <si>
    <t>seed soybean 1</t>
  </si>
  <si>
    <t>seed soybean 2</t>
  </si>
  <si>
    <t>seed soybean 3</t>
  </si>
  <si>
    <t>alfalfa seed 1</t>
  </si>
  <si>
    <t>alfalfa seed 2</t>
  </si>
  <si>
    <t>switchgrass seed 1</t>
  </si>
  <si>
    <t>switchgrass seed 2</t>
  </si>
  <si>
    <t>switchgrass seed 3</t>
  </si>
  <si>
    <t>clover seed 1</t>
  </si>
  <si>
    <t>clover seed 2</t>
  </si>
  <si>
    <t>clover seed 3</t>
  </si>
  <si>
    <t>clover seed 4</t>
  </si>
  <si>
    <t>clover seed 5</t>
  </si>
  <si>
    <t>sugar beet seed 1</t>
  </si>
  <si>
    <t>sugar beet seed 2</t>
  </si>
  <si>
    <t>sugar beet seed 3</t>
  </si>
  <si>
    <t>sugar beet seed 4</t>
  </si>
  <si>
    <t>sugar beet seed 5</t>
  </si>
  <si>
    <t>Corn Insecticides rate 1</t>
  </si>
  <si>
    <t>Drying corn 1</t>
  </si>
  <si>
    <t>N2O</t>
  </si>
  <si>
    <t>Nitrogen 3</t>
  </si>
  <si>
    <t>Fluck,R.C, and C.D. Baird. 1981. Agricultural energetics. Chap.6 Energy requirements for agricultural inputs. AVI Publishing Company, Inc. West Port, Connecticut.</t>
  </si>
  <si>
    <t>Meiering,A.G., T.B. Daynard, R. Brown and L. Otten.1977. Dryer performance and energy use in corn drying. Can.Agric.Eng. 19(1) 49-54.</t>
  </si>
  <si>
    <t>Auri Fuels Initiative.2009. Agricultural Renewable Solid Fuels Data - http://www.auri.org/research/fuels.pdf</t>
  </si>
  <si>
    <t>Corn grain N</t>
  </si>
  <si>
    <t>Corn grain P2O5</t>
  </si>
  <si>
    <t>Corn grain K2O</t>
  </si>
  <si>
    <t>Wheat and Rye N</t>
  </si>
  <si>
    <t>Soybeans P2O5</t>
  </si>
  <si>
    <t>Soybeans K2O</t>
  </si>
  <si>
    <t>Soybeans N</t>
  </si>
  <si>
    <t>Corn silage P2O</t>
  </si>
  <si>
    <t>Corn silage K2O</t>
  </si>
  <si>
    <t>Wheat and Rye P2O5</t>
  </si>
  <si>
    <t>Barley P2O5</t>
  </si>
  <si>
    <t>Barley K2O</t>
  </si>
  <si>
    <t>Red clover N</t>
  </si>
  <si>
    <t>Red clover P2O5</t>
  </si>
  <si>
    <t>Red clover K2O</t>
  </si>
  <si>
    <t>Seed rates</t>
  </si>
  <si>
    <t>Wheat and Rye K2O</t>
  </si>
  <si>
    <t>Fertilizer</t>
  </si>
  <si>
    <t>Seed production</t>
  </si>
  <si>
    <t>Pesticides</t>
  </si>
  <si>
    <t>Transportation</t>
  </si>
  <si>
    <t>Switchgrass N</t>
  </si>
  <si>
    <t>Switchgrass P2O5</t>
  </si>
  <si>
    <t>Switchgrass K2O</t>
  </si>
  <si>
    <t>Hall, M. 2010. Warm season grasses. Agronomy facts 29. Department of Crop and Soil Sciences. Penn State University. Available at:http://cropsoil.psu.edu/extension/facts/agfacts29.cfm</t>
  </si>
  <si>
    <t>Roth,G., D. Buffington, C. Houser, M. Antle. 2008. Evaluation of fodder beets as a feedstock for PA ethanol production. Crop Management Research Report. Department of crop and soil sciences. Penn State University, University Park,PA</t>
  </si>
  <si>
    <t>Canola N</t>
  </si>
  <si>
    <t>Canola P2O5</t>
  </si>
  <si>
    <t>Canola K2O</t>
  </si>
  <si>
    <t xml:space="preserve">Canola </t>
  </si>
  <si>
    <t>Frier, M.C., and G. W. Roth. 2009. Canola or Rapeseed Production in Pennsylvania. Department of Crop and Soil Sciences, Penn State University. Available at http://downloads.cas.psu.edu/RenewableEnergy/CanolaProduction.pdf</t>
  </si>
  <si>
    <t>Rotz, C.A., M.S. Corson, D.S. Chianese, and C.U. Coiner. 2009. Integrated Farm System Model, Reference Manual. Pasture Systems and Watershed Management Research Unit. Agricultural Research Service. Unite States Department of Agriculture. Available at: http://www.ars.usda.gov/SP2UserFiles/Place/19020000/ifsmreference.pdf. Accessed on 07 July 2009.</t>
  </si>
  <si>
    <t>van Ouwerkerk, E.N.J. , R.P. Anex, and T.L. Richard. 2009. I-FARM integrated crop and livestock production and biomass planning tool. Available at: http://www.i-farmtools.org. Accessed 7 May 2009.</t>
  </si>
  <si>
    <t>Switchgrass insecticide</t>
  </si>
  <si>
    <t>Beet tops</t>
  </si>
  <si>
    <t>Input transport emissions</t>
  </si>
  <si>
    <t>Energy parameters</t>
  </si>
  <si>
    <t>Greenhouse gas emissions parameters</t>
  </si>
  <si>
    <t>Corn rate stats</t>
  </si>
  <si>
    <t>Wheat rate stats</t>
  </si>
  <si>
    <t>Barley rate stats</t>
  </si>
  <si>
    <t>Rye rate stats</t>
  </si>
  <si>
    <t>Soybean rate stats</t>
  </si>
  <si>
    <t>Alfalfa rate stats</t>
  </si>
  <si>
    <t>Switchgrass rate stats</t>
  </si>
  <si>
    <t>Sugar beet energy stats</t>
  </si>
  <si>
    <t>Alfalfa seed</t>
  </si>
  <si>
    <t>tranport inputs</t>
  </si>
  <si>
    <t>Wheat grain</t>
  </si>
  <si>
    <t>Barley and wheat</t>
  </si>
  <si>
    <t>Greenhouse gas balance graph (kgCO2e/ha/yr)</t>
  </si>
  <si>
    <t>Transport. inputs</t>
  </si>
  <si>
    <t>Willow</t>
  </si>
  <si>
    <t>Sugar beet top</t>
  </si>
  <si>
    <t>Thyo,K.A., and H. Wenzel. 2007. Life cycle assessment of biogass from maize silage and manure. http://www.biogasmax.eu/media/life_cycle_assess__074696200_1349_02092008.pdf</t>
  </si>
  <si>
    <t>Clark,P., D.I. Givens, J.M. Brunnen. 1987. The chemical  composition, digestibility, and energy value of fodder beets roots. Animal Feed Science and Technology, 18 :225-231.</t>
  </si>
  <si>
    <t>Wang. P., K. Souma, Y. Kobayashi, K. Iwabuchi, C. Sato, T. Masuko. 2010. Influences of Northern Leaf Blight on corn silage fermentation quality, nutritive value and feed intake by sheep. Animal Science Journal 81(4):487-493.</t>
  </si>
  <si>
    <t>Moon, S., O. Enishi, and H. Hirota. 1993. The effect of supplementary concentrate on nutritive value on feed and nitrogen and energy balance in goats fed on forage rye (secale cereale L.) silage. J. Japan Grassl. Sci. 39(2):216-224.</t>
  </si>
  <si>
    <t>Morrison, S.J., and D.C. Patterson. 2007. The effects of offering a range of forage and concentrate supplements on milk production and dry matter intake of grazing dairy cows. Grass and Forage Science 62:332-345.</t>
  </si>
  <si>
    <t>Meineri, G., and P.G. Peiretti. 2005. Determination of gross energy of silages. Ital. J. Anim. Sci. 4 (suppl. 2): 147-149.</t>
  </si>
  <si>
    <t>Barley (gr.)</t>
  </si>
  <si>
    <t>Corn (gr.)</t>
  </si>
  <si>
    <t>Wheat (gr.)</t>
  </si>
  <si>
    <t>Poplar</t>
  </si>
  <si>
    <t>Crop residues</t>
  </si>
  <si>
    <t>Residues</t>
  </si>
  <si>
    <t>Total area</t>
  </si>
  <si>
    <t>kg/ha/yr</t>
  </si>
  <si>
    <t>Poplar N rate stats</t>
  </si>
  <si>
    <t>Poplar N1</t>
  </si>
  <si>
    <t>Poplar N2</t>
  </si>
  <si>
    <t>Welke,S. 2006. Wood-ethanol plantations: Implications for sustainable forest management. Sustainable Forest Management Network No. 23. ISSN 1715-0981.</t>
  </si>
  <si>
    <t xml:space="preserve">Perlack,R.D., J.W. Ranney, L.L. Wright. 1992. Environmental Emissions and Socioeconomic Considerations in the Production, Storage, and Transportation of Biomass Energy Feedstocks. </t>
  </si>
  <si>
    <t>MgWM/ha/yr</t>
  </si>
  <si>
    <t>Mg DM/ha/yr</t>
  </si>
  <si>
    <t>Crop fuel consumption (L/ha/yr)</t>
  </si>
  <si>
    <t>L/ha/yr</t>
  </si>
  <si>
    <t>Alfalfa P2O5</t>
  </si>
  <si>
    <t>Alfalfa K2O</t>
  </si>
  <si>
    <t>Sugar beets P2O5 rates</t>
  </si>
  <si>
    <t>Sugar beets K2O rates</t>
  </si>
  <si>
    <t>Barley grain</t>
  </si>
  <si>
    <t>P2O5</t>
  </si>
  <si>
    <t>K2O</t>
  </si>
  <si>
    <t>Poplar P2O5 rate stats</t>
  </si>
  <si>
    <t>Poplar K2O rate stats</t>
  </si>
  <si>
    <t>Miscanthus P2O5 rate stats</t>
  </si>
  <si>
    <t>Miscanthus K2O rate stats</t>
  </si>
  <si>
    <t>Red clover rate stats</t>
  </si>
  <si>
    <t>Canola seed rate</t>
  </si>
  <si>
    <t>Poplar 1</t>
  </si>
  <si>
    <t>Poplar 2</t>
  </si>
  <si>
    <t>Graham,R.L. and M.E. Walsh. 1999. A national assessment of promissing areas for switchgrass, hybrid poplar, or willow energy crop production. ORNL-6944.</t>
  </si>
  <si>
    <t>Walsh, M.E., Becker, D., 1996. Biocost: A Software Program to Estimate the Cost of Producing Bioenergy Crops, BIOENERGY ’96 -Proceedings of the Seventh National Bioenergy Conference:Partnerships to Develop and Apply Biomass Technologies, Nashville, TN</t>
  </si>
  <si>
    <t>Poplar Herbicides Rate stats</t>
  </si>
  <si>
    <t>Poplar herbicide rate 1</t>
  </si>
  <si>
    <t>Poplar herbicide rate 2</t>
  </si>
  <si>
    <t>Poplar herbicide rate 3</t>
  </si>
  <si>
    <t>Poplar insecticide</t>
  </si>
  <si>
    <t>Wang, M., Saricks, C., Santini, D., 1999. Effects of Fuel Ethanol Use on Fuel-Cycle Energy and Greenhouse Gas Emissions. Center for Transportation Research Argonne National Laboratory, Argonne, IL, p. 32.</t>
  </si>
  <si>
    <t>N rate (kg/ha/yr)</t>
  </si>
  <si>
    <t>P2O5 rate (kg/ha/yr)</t>
  </si>
  <si>
    <t>K2O rate (kg/ha/yr)</t>
  </si>
  <si>
    <t>Lime (kg/ha/yr)</t>
  </si>
  <si>
    <t>Yield (Mg/ha/yr)</t>
  </si>
  <si>
    <t>Herbicide rate (kg/ha/yr)</t>
  </si>
  <si>
    <t>Insecticide rate (kg/ha/yr)</t>
  </si>
  <si>
    <t>Diesel fuel (L/ha/yr)</t>
  </si>
  <si>
    <t>Drying (MJ/yr)</t>
  </si>
  <si>
    <t>Transportation of inputs (MJ/kg/yr)</t>
  </si>
  <si>
    <t>Crop production (Mg WM/yr)</t>
  </si>
  <si>
    <t>Crop production (Mg DM/yr)</t>
  </si>
  <si>
    <t>Total input energy per crop(MJ/yr)</t>
  </si>
  <si>
    <t>Inputs energy (MJ/yr)</t>
  </si>
  <si>
    <t>kg CO2e/ha/yr</t>
  </si>
  <si>
    <t>HHV Graph (MJ/ha/yr)</t>
  </si>
  <si>
    <t>Total (MJ/yr)</t>
  </si>
  <si>
    <t>Total (MJ/ha/yr)</t>
  </si>
  <si>
    <t>Outputs</t>
  </si>
  <si>
    <t>MJ/yr</t>
  </si>
  <si>
    <t>MJ/ha/yr</t>
  </si>
  <si>
    <t xml:space="preserve"> MJ/ha/yr</t>
  </si>
  <si>
    <t>Rafaschieri, A., Rapaccini, M., Manfrida, G., 1999. Life Cycle Assessment of electricity production from poplar energy crops compared with conventional fossil fuels. Energy Conversion and Management 40, 1477-1493.</t>
  </si>
  <si>
    <t>Poplar fuel 1</t>
  </si>
  <si>
    <t>Poplar fuel 2</t>
  </si>
  <si>
    <t>Heller, M.C., Keoleian, G.A., Volk, T.A., 2003. Life cycle assessment of a willow bioenergy cropping system. Biomass and Bioenergy 25, 147-165.</t>
  </si>
  <si>
    <t>Poplar fuel consumption rate</t>
  </si>
  <si>
    <t>Tharakan, P.J., Volk, T.A., Abrahamson, L.P., White, E.H., 2003. Energy feedstock characteristics of willow and hybrid poplar clones at harvest age. Biomass and Bioenergy 25, 571-580.</t>
  </si>
  <si>
    <t>Total agricultural phase(MJ/yr)</t>
  </si>
  <si>
    <t>Crop energy(MJ/yr) (Heating value)</t>
  </si>
  <si>
    <t>Kenney, W.A., Sennerby-Forsse, L., Layton, P., 1990. A review of biomass quality research relevant to the use of poplar and willow for energy conversion. Biomass 21, 163-188.</t>
  </si>
  <si>
    <t>Value highlighted in light blue should be filled by the user with external information</t>
  </si>
  <si>
    <t>Winter barley/wheat grain</t>
  </si>
  <si>
    <t>Switchgrass 1</t>
  </si>
  <si>
    <t>Switchgrass 2</t>
  </si>
  <si>
    <t>Wang, M.Q., 2001. Development and use of GREET 1.6 fuel-cycle model for transportation fuels and vehicle technologies. Argonne National Laboratory, Argonne, IL, p. 39.</t>
  </si>
  <si>
    <t>Switchgrass 3</t>
  </si>
  <si>
    <t>Pimentel, D., Patzek, T.W., 2005. Ethanol Production Using Corn, Switchgrass, and Wood; Biodiesel Production Using Soybean and Sunflower. . Natural Resources Research 14, 65-76.</t>
  </si>
  <si>
    <t>Switchgrass fuel consumption rate</t>
  </si>
  <si>
    <t>Halleux, H., Lassaux, S., Renzoni, R., Germain, A., 2008. Comparative life cycle assessment of two biofuels ethanol from sugar beet and rapeseed methyl ester. The International Journal of Life Cycle Assessment 13, 184-190.</t>
  </si>
  <si>
    <t>Sugar beet 1</t>
  </si>
  <si>
    <t>Sugar beet 2</t>
  </si>
  <si>
    <t>Canola 1</t>
  </si>
  <si>
    <t>Canola 2</t>
  </si>
  <si>
    <t>Sugar beet fuel consumption rate</t>
  </si>
  <si>
    <t>Canola fuel consumption rate</t>
  </si>
  <si>
    <t>Acaroglu, M., Semi Aksoy, A., 2005. The cultivation and energy balance of Miscanthus×giganteus production in Turkey. Biomass and Bioenergy 29, 42-48.</t>
  </si>
  <si>
    <t>Miscanthus fuel consumption rate</t>
  </si>
  <si>
    <t>Angelini, L.G., Ceccarini, L., Nassi o Di Nasso, N., Bonari, E., 2009. Comparison of Arundo donax L. and Miscanthus x giganteus in a long-term field experiment in Central Italy: Analysis of productive characteristics and energy balance. Biomass and Bioenergy 33, 635-643.</t>
  </si>
  <si>
    <t>Willow fuel consumption rate</t>
  </si>
  <si>
    <t>Willow fuel 1</t>
  </si>
  <si>
    <t>Willow fuel 2</t>
  </si>
  <si>
    <t>Willow fuel 3</t>
  </si>
  <si>
    <t>Canola 3</t>
  </si>
  <si>
    <t>Börjesson, P.I.I., 1996. Energy analysis of biomass production and transportation. Biomass and Bioenergy 11, 305-318.</t>
  </si>
  <si>
    <t>H. Poplar</t>
  </si>
  <si>
    <t>Poplar fuel 3</t>
  </si>
  <si>
    <t>Mann, M.K., Spath, P.L., 1997. Life Cycle Assessment of a Biomass Gasification Combined-Cycle System. NREL.</t>
  </si>
  <si>
    <t>Poplar fuel 4</t>
  </si>
  <si>
    <t>Adler, P.R., Del Grosso, S.J., Parton, W.J., 2007. Life-Cycle Assessment of Net Greenhouse-Gas Flux for Bioenergy Cropping Systems. Ecological Applications 17, 675-691.</t>
  </si>
  <si>
    <t>Sugar beet 3</t>
  </si>
  <si>
    <t>Leach, G., 1976. Energy and Food Production. IPC Science and Technology Press Ltd., Guildford,Surrey,UK.</t>
  </si>
  <si>
    <t>Sugar beet 4</t>
  </si>
  <si>
    <t>Pimentel, D., 1980. Handbook of energy utilization in agriculture. [Collection of available data]. CRC Press, Inc., Boca Raton, FL.</t>
  </si>
  <si>
    <t>Sugar beet 5</t>
  </si>
  <si>
    <t>Mrini, M., Senhaji, F., Pimentel, D., 2002. Energy Analysis of Sugar Beet Production Under Traditional and Intensive Farming Systems and Impacts on Sustainable Agriculture in Morocco. Journal of Sustainable Agriculture 20, 5 - 28.</t>
  </si>
  <si>
    <t>Sugar beet 6</t>
  </si>
  <si>
    <t>Kaltschmitt, M., Reinhardt, G.A., 1997. Nachwachsende Energieträger – Grundlagen, Verfaben, Ökologische Bilanzierung. (Renewable Energy Sources, Basis, Processes and Ecological Balance), Vieweg, Braunschweig/Weisbaden, Germany</t>
  </si>
  <si>
    <t>Bukantis, R., Goodman, N., 1980. Energy inputs in barley production, in: Pimentel, D. (Ed.), Handbook of energy utilization in agriculture. CRC Press, Inc. , Boca Raton, FL. , pp. 59-65.</t>
  </si>
  <si>
    <t>Energy</t>
  </si>
  <si>
    <t>H. Poplar yield stats</t>
  </si>
  <si>
    <t>IPCC. 2007. Climate change 2007: The physical science basis. Contribution of working group I to the fourth assessment report of the Intergovernmental panel on climate change. Chapter 2. Changes in atmospheric constituents and in radiative forcing.http://www.ipcc.ch/pdf/assessment-report/ar4/wg1/ar4-wg1-chapter2.pdf</t>
  </si>
  <si>
    <t>Global Warming Potential (100years)</t>
  </si>
  <si>
    <t>N2O emissions</t>
  </si>
  <si>
    <t>Emission factors (EF)</t>
  </si>
  <si>
    <t>EF for N additions from mineral fertilizer and crop residues</t>
  </si>
  <si>
    <t>EF for N lost through volatilization</t>
  </si>
  <si>
    <t>EF for N lost through leaching/runoff</t>
  </si>
  <si>
    <t>kg N2O-N/kg N added</t>
  </si>
  <si>
    <t>kg N2O-N/kg N leaching or runoff</t>
  </si>
  <si>
    <t>kg N2O-N/ (kg NH3-N + NOX-N volatized)</t>
  </si>
  <si>
    <t>N2O-N to N2O conversion</t>
  </si>
  <si>
    <t>Default factors for estimation of N added to soils from crop residues</t>
  </si>
  <si>
    <t>Slope</t>
  </si>
  <si>
    <t>Intercept</t>
  </si>
  <si>
    <t>N content of above-ground residues</t>
  </si>
  <si>
    <t>Ratio of below ground residues to above-ground biomass</t>
  </si>
  <si>
    <t>N content of below ground residues</t>
  </si>
  <si>
    <t>EF for NH3-N and Nox-N</t>
  </si>
  <si>
    <t>(kg NH3-N + NOX-N)/ kg N applied</t>
  </si>
  <si>
    <t>Percentage of N leaching and runoff</t>
  </si>
  <si>
    <t>PSU, 2010. Summary report soils test results and recommendations. Agricultural Analytical Services Lab. Penn State University.</t>
  </si>
  <si>
    <t>Rate for all crops</t>
  </si>
  <si>
    <t>* not mentioned in the IPCC report</t>
  </si>
  <si>
    <t>General lime (CaCO3) rates</t>
  </si>
  <si>
    <t>Short rotation coppice</t>
  </si>
  <si>
    <t>cuttings/ha/yr</t>
  </si>
  <si>
    <t>Cuttings energy</t>
  </si>
  <si>
    <t>MJ/cuttings</t>
  </si>
  <si>
    <t>Short rotation coppice (SRC) cutting</t>
  </si>
  <si>
    <t>kg CO2e/kg cutting</t>
  </si>
  <si>
    <t>miscanthus rhizome 1</t>
  </si>
  <si>
    <t>Miscanthus rhizome energy stats</t>
  </si>
  <si>
    <t>rhizome Miscanthus 2</t>
  </si>
  <si>
    <t>rhizome Miscanthus 1</t>
  </si>
  <si>
    <t>MJ/kg rhizome</t>
  </si>
  <si>
    <t>switchgrass seed 4</t>
  </si>
  <si>
    <t>Elsayed, M.A., Mortimer, N.D., Matthews, R., 2003. Carbon and energy balances for a range of biofuels options: Interin report. Resources Research Unit, Sheffield Hallan University, Sheffield, United Kingdon.</t>
  </si>
  <si>
    <r>
      <t>kg CO</t>
    </r>
    <r>
      <rPr>
        <vertAlign val="subscript"/>
        <sz val="11"/>
        <color theme="1"/>
        <rFont val="Calibri"/>
        <family val="2"/>
        <scheme val="minor"/>
      </rPr>
      <t>2</t>
    </r>
    <r>
      <rPr>
        <sz val="11"/>
        <color theme="1"/>
        <rFont val="Calibri"/>
        <family val="2"/>
        <scheme val="minor"/>
      </rPr>
      <t>e/kg rhizome</t>
    </r>
  </si>
  <si>
    <t>Willow Herbicides Rate stats</t>
  </si>
  <si>
    <t>Willow herbicides rate 1</t>
  </si>
  <si>
    <t>Willow herbicides rate 2</t>
  </si>
  <si>
    <t>Willow N rate stats</t>
  </si>
  <si>
    <t>Willow N rates 1</t>
  </si>
  <si>
    <t>Willow N rates 2</t>
  </si>
  <si>
    <t>Willow P2O5 rate stats</t>
  </si>
  <si>
    <t>Willow P2O5 rates 2</t>
  </si>
  <si>
    <t>Willow P2O5 rates 1</t>
  </si>
  <si>
    <t>Willow K2O rate stats</t>
  </si>
  <si>
    <t>Willow K2O rates 1</t>
  </si>
  <si>
    <t>Willow K2O rates 2</t>
  </si>
  <si>
    <t>SRC cuttings rate stats</t>
  </si>
  <si>
    <t>Seed/cuttings rate (kg/ha/yr)</t>
  </si>
  <si>
    <t>Short rotation woody crops (SRC) rates</t>
  </si>
  <si>
    <t>SRWC cuttings rate 1</t>
  </si>
  <si>
    <t>SRWC cuttings rate 2</t>
  </si>
  <si>
    <t>Willow yield stats</t>
  </si>
  <si>
    <t>Willow yield 1</t>
  </si>
  <si>
    <t>Willow yield 2</t>
  </si>
  <si>
    <t>Manzone, M., Airoldi, G., Balsari, P., 2009. Energetic and economic evaluation of a poplar cultivation for the biomass production in Italy. Biomass and Bioenergy 33, 1258-1264.</t>
  </si>
  <si>
    <t>Poplar 3</t>
  </si>
  <si>
    <t>Poplar 4</t>
  </si>
  <si>
    <t>Strauss, C.H., Grado, S.C., 1992. Input-output analysis of energy requirements for short rotation, intensive culture, woody biomass. Solar Energy 48, 45-51.</t>
  </si>
  <si>
    <t>Turhollow, A.F., Perlack, R.D., 1991. Emissions of C02 from energy crop production. Biomass and Bioenergy 1, 129-135.</t>
  </si>
  <si>
    <t>Poplar 5</t>
  </si>
  <si>
    <t>Styles, D., Jones, M.B., 2008. Life-cycle environmental and economic impacts of energy-crop fuel-chains: an integrated assessment of potential GHG avoidance in Ireland. Environmental Science &amp; Policy 11, 294-306.</t>
  </si>
  <si>
    <t>Vande Walle, I., Van Camp, N., Van de Casteele, L., Verheyen, K., Lemeur, R., 2007. Short-rotation forestry of birch, maple, poplar and willow in Flanders (Belgium) I--Biomass production after 4 years of tree growth. Biomass and Bioenergy 31, 267-275.</t>
  </si>
  <si>
    <t>Poplar 6</t>
  </si>
  <si>
    <t>Bussel, L.v., 2006. The potential of a short-rotation willow plantation to mitigate climate change. Wageningen University, Wageningen, the Netherlands, p. 51.</t>
  </si>
  <si>
    <t>Willow yield 3</t>
  </si>
  <si>
    <t>Willow yield 4</t>
  </si>
  <si>
    <t>Boman, U.R., Turnbull, J.H., 1997. Integrated biomass energy systems and emissions of carbon dioxide. Biomass and Bioenergy 13, 333-343.</t>
  </si>
  <si>
    <t>Willow yield 5</t>
  </si>
  <si>
    <t>Dubuisson, X., Sintzoff, I., 1998. Energy and CO2 balances in different power generation routes using wood fuel from short rotation coppice. Biomass and Bioenergy 15, 379-390.</t>
  </si>
  <si>
    <t>Poplar 7</t>
  </si>
  <si>
    <t>Nonhebel, S., 2002. Energy yields in intensive and extensive biomass production systems. Biomass and Bioenergy 22, 159-167.</t>
  </si>
  <si>
    <t>Gustavsson, L., Börjesson, P., Johansson, B., Svenningsson, P., 1995. Reducing CO2 emissions by substituting biomass for fossil fuels. Energy 20, 1097-1113.</t>
  </si>
  <si>
    <t>Matthews, R.W., 2001. Modelling of energy and carbon budgets of wood fuel coppice systems. Biomass and Bioenergy 21, 1-19.</t>
  </si>
  <si>
    <t>Willow yield 6</t>
  </si>
  <si>
    <t>Willow yield 7</t>
  </si>
  <si>
    <t>Lettens, S., Muys, B., Ceulemans, R., Moons, E., Garcia, J., Coppin, P., 2003. Energy budget and greenhouse gas balance evaluation of sustainable coppice systems for electricity production. Biomass and Bioenergy 24, 179-197.</t>
  </si>
  <si>
    <t>Goglio, P., Owende, P.M.O., 2009. A screening LCA of short rotation coppice willow (Salix sp.) feedstock production system for small-scale electricity generation. Biosystems Engineering 103, 389-394.</t>
  </si>
  <si>
    <t>Willow yield 8</t>
  </si>
  <si>
    <t>Willow yield 9</t>
  </si>
  <si>
    <t>Adler, P.R., Del Grosso, S.J., Parton, W.J., 2007. Life-cycle assessment of net greenhouse-gas flux for bioenergy cropping systems. Ecological Applications 17, 675-691.</t>
  </si>
  <si>
    <t>Poplar 8</t>
  </si>
  <si>
    <t>Poplar 9</t>
  </si>
  <si>
    <t>Gasol, C.M., Gabarrell, X., Anton, A., Rigola, M., Carrasco, J., Ciria, P., Rieradevall, J., 2009. LCA of poplar bioenergy system compared with Brassica carinata energy crop and natural gas in regional scenario. Biomass and Bioenergy 33, 119-129.</t>
  </si>
  <si>
    <t>Scholz, V., Ellerbrock, R., 2002. The growth productivity, and environmental impact of the cultivation of energy crops on sandy soil in Germany. Biomass and Bioenergy 23, 81-92.</t>
  </si>
  <si>
    <t>Mann, M.K., Spath, P.L., 1997. Life cycle assessment of a biomass gasification combined-cycle system. National Renewable Energy Laboratory, Golden, CO.</t>
  </si>
  <si>
    <t>Boehmel, C., Lewandowski, I., Claupein, W., 2008. Comparing annual and perennial energy cropping systems with different management intensities. Agricultural Systems 96, 224-236.</t>
  </si>
  <si>
    <t>Willow yield 10</t>
  </si>
  <si>
    <t>Willow yield 11</t>
  </si>
  <si>
    <t>Poplar 10</t>
  </si>
  <si>
    <t>Poplar 11</t>
  </si>
  <si>
    <t>Poplar 12</t>
  </si>
  <si>
    <t>Willow N rates 3</t>
  </si>
  <si>
    <t>Willow N rates 4</t>
  </si>
  <si>
    <t>Willow P2O5 rates 3</t>
  </si>
  <si>
    <t>Willow K2O rates 3</t>
  </si>
  <si>
    <t>Willow herbicides rate 3</t>
  </si>
  <si>
    <t>SRWC cuttings rate 3</t>
  </si>
  <si>
    <t>Poplar N3</t>
  </si>
  <si>
    <t>Willow N rates 6</t>
  </si>
  <si>
    <t>Willow P2O5 rates 4</t>
  </si>
  <si>
    <t>Willow K2O rates 4</t>
  </si>
  <si>
    <t>Willow herbicides rate 4</t>
  </si>
  <si>
    <t>H. Poplar*</t>
  </si>
  <si>
    <t>Willow*</t>
  </si>
  <si>
    <t>Klein, C.D., Novoa, R.S.A., Ogle, S., Smith, K.A., Rochette, P., Wirth, T.C., 2006. Chapter 11: N2O emissions from managed soils, and CO2 emissions from lime and urea application, in: Eggleston, S., Buendia, L., Miwa, K., Ngara, T., Tanabe, K. (Eds.), 2006 IPCC guidelines for national greenhouse gas inventories. Volume 4. Agriculture, forestry, and other land use. The Intergovernmental Panel on Climate Change (IPCC), Hayama, Kanagawa, Japan.</t>
  </si>
  <si>
    <t>unitless</t>
  </si>
  <si>
    <t>N/MgDM</t>
  </si>
  <si>
    <t>kg N leaching or runoff / kg N applied</t>
  </si>
  <si>
    <t>Energy for diesel processing and transportation</t>
  </si>
  <si>
    <t>Farm Energy Analysis Tool (FEAT)</t>
  </si>
  <si>
    <t>Version 1.1</t>
  </si>
  <si>
    <t>Authors: Gustavo G.T. Camargo, Matt R. Ryan, Tom L. Richard</t>
  </si>
  <si>
    <t>Worsheet</t>
  </si>
  <si>
    <t>Description</t>
  </si>
  <si>
    <t>AgInputs</t>
  </si>
  <si>
    <t>GHG</t>
  </si>
  <si>
    <t>Model Instructions:</t>
  </si>
  <si>
    <t>The agricultural inputs and outputs used for each evaluated crop.</t>
  </si>
  <si>
    <t>The energy parameters for agricultural inputs and outputs.</t>
  </si>
  <si>
    <t>The greenhouse gas (GHG) emissions parameters for agricultural inputs and outputs.</t>
  </si>
  <si>
    <t>The energy and GHG analysis for 1 ha of barley grain in a year.</t>
  </si>
  <si>
    <t>The energy and GHG analysis for 1 ha of corn grain in a year.</t>
  </si>
  <si>
    <t>The energy and GHG analysis for 1 ha of corn silage in a year.</t>
  </si>
  <si>
    <t>The energy and GHG analysis for 1 ha of rye silage in a year.</t>
  </si>
  <si>
    <t>The energy and GHG analysis for 1 ha of wheat grain in a year.</t>
  </si>
  <si>
    <t>The energy and GHG analysis for 1 ha of wheat silage in a year.</t>
  </si>
  <si>
    <t>The energy and GHG analysis for 1 ha of alfalfa in a year.</t>
  </si>
  <si>
    <t>The energy and GHG analysis for 1 ha of red clover in a year.</t>
  </si>
  <si>
    <t>The energy and GHG analysis for 1 ha of canola in a year.</t>
  </si>
  <si>
    <t>The energy and GHG analysis for 1 ha of soybean in a year.</t>
  </si>
  <si>
    <t>The energy and GHG analysis for 1 ha of sugar beet in a year.</t>
  </si>
  <si>
    <t>The energy and GHG analysis for 1 ha of miscanthus in a year.</t>
  </si>
  <si>
    <t>The energy and GHG analysis for 1 ha of switchgrass in a year.</t>
  </si>
  <si>
    <t>The energy and GHG analysis for 1 ha of hybrid poplar in a year.</t>
  </si>
  <si>
    <t>The energy and GHG analysis for 1 ha of willow in a year.</t>
  </si>
  <si>
    <t>Values highlighted in yellow were used in the analysis</t>
  </si>
  <si>
    <t>Crop (Barley_grain)</t>
  </si>
  <si>
    <t>Crop (Corn_grain)</t>
  </si>
  <si>
    <t>Crop (Corn_silage)</t>
  </si>
  <si>
    <t>Crop (Rye_silage)</t>
  </si>
  <si>
    <t>Crop (Wheat_grain)</t>
  </si>
  <si>
    <t>Crop (Wheat_silage)</t>
  </si>
  <si>
    <t>Crop (Alfalfa)</t>
  </si>
  <si>
    <t>Crop (Red_clover)</t>
  </si>
  <si>
    <t>Crop (Canola)</t>
  </si>
  <si>
    <t>Crop (Soybean)</t>
  </si>
  <si>
    <t>Crop (Sugar_beet)</t>
  </si>
  <si>
    <t>Crop (Miscanthus)</t>
  </si>
  <si>
    <t>Crop (Switchgrass)</t>
  </si>
  <si>
    <t>Crop (Hybrid_poplar)</t>
  </si>
  <si>
    <t>Crop (Willow)</t>
  </si>
  <si>
    <t>THE WORK (AS DEFINED BELOW) IS PROVIDED UNDER THE TERMS OF THIS CREATIVE COMMONS PUBLIC LICENSE ("CCPL" OR "LICENSE"). THE WORK IS PROTECTED BY COPYRIGHT AND/OR OTHER APPLICABLE LAW. ANY USE OF THE WORK OTHER THAN AS AUTHORIZED UNDER THIS LICENSE OR COPYRIGHT LAW IS PROHIBITED.</t>
  </si>
  <si>
    <t>BY EXERCISING ANY RIGHTS TO THE WORK PROVIDED HERE, YOU ACCEPT AND AGREE TO BE BOUND BY THE TERMS OF THIS LICENSE. TO THE EXTENT THIS LICENSE MAY BE CONSIDERED TO BE A CONTRACT, THE LICENSOR GRANTS YOU THE RIGHTS CONTAINED HERE IN CONSIDERATION OF YOUR ACCEPTANCE OF SUCH TERMS AND CONDITIONS.</t>
  </si>
  <si>
    <t>1. Definitions</t>
  </si>
  <si>
    <r>
      <t>a. "Adaptation"</t>
    </r>
    <r>
      <rPr>
        <sz val="10"/>
        <color rgb="FF333333"/>
        <rFont val="Arial"/>
        <family val="2"/>
      </rPr>
      <t> means a work based upon the Work, or upon the Work and other pre-existing works, such as a translation, adaptation, derivative work, arrangement of music or other alterations of a literary or artistic work, or phonogram or performance and includes cinematographic adaptations or any other form in which the Work may be recast, transformed, or adapted including in any form recognizably derived from the original, except that a work that constitutes a Collection will not be considered an Adaptation for the purpose of this License. For the avoidance of doubt, where the Work is a musical work, performance or phonogram, the synchronization of the Work in timed-relation with a moving image ("synching") will be considered an Adaptation for the purpose of this License.</t>
    </r>
  </si>
  <si>
    <r>
      <t>b. "Collection"</t>
    </r>
    <r>
      <rPr>
        <sz val="10"/>
        <color rgb="FF333333"/>
        <rFont val="Arial"/>
        <family val="2"/>
      </rPr>
      <t> means a collection of literary or artistic works, such as encyclopedias and anthologies, or performances, phonograms or broadcasts, or other works or subject matter other than works listed in Section 1(g) below, which, by reason of the selection and arrangement of their contents, constitute intellectual creations, in which the Work is included in its entirety in unmodified form along with one or more other contributions, each constituting separate and independent works in themselves, which together are assembled into a collective whole. A work that constitutes a Collection will not be considered an Adaptation (as defined above) for the purposes of this License.</t>
    </r>
  </si>
  <si>
    <r>
      <t>c. "Distribute"</t>
    </r>
    <r>
      <rPr>
        <sz val="10"/>
        <color rgb="FF333333"/>
        <rFont val="Arial"/>
        <family val="2"/>
      </rPr>
      <t> means to make available to the public the original and copies of the Work or Adaptation, as appropriate, through sale or other transfer of ownership.</t>
    </r>
  </si>
  <si>
    <r>
      <t>d. "License Elements"</t>
    </r>
    <r>
      <rPr>
        <sz val="10"/>
        <color rgb="FF333333"/>
        <rFont val="Arial"/>
        <family val="2"/>
      </rPr>
      <t> means the following high-level license attributes as selected by Licensor and indicated in the title of this License: Attribution, Noncommercial, ShareAlike.</t>
    </r>
  </si>
  <si>
    <r>
      <t>e. "Licensor"</t>
    </r>
    <r>
      <rPr>
        <sz val="10"/>
        <color rgb="FF333333"/>
        <rFont val="Arial"/>
        <family val="2"/>
      </rPr>
      <t> means the individual, individuals, entity or entities that offer(s) the Work under the terms of this License.</t>
    </r>
  </si>
  <si>
    <r>
      <t>f. "Original Author"</t>
    </r>
    <r>
      <rPr>
        <sz val="10"/>
        <color rgb="FF333333"/>
        <rFont val="Arial"/>
        <family val="2"/>
      </rPr>
      <t> means, in the case of a literary or artistic work, the individual, individuals, entity or entities who created the Work or if no individual or entity can be identified, the publisher; and in addition (i) in the case of a performance the actors, singers, musicians, dancers, and other persons who act, sing, deliver, declaim, play in, interpret or otherwise perform literary or artistic works or expressions of folklore; (ii) in the case of a phonogram the producer being the person or legal entity who first fixes the sounds of a performance or other sounds; and, (iii) in the case of broadcasts, the organization that transmits the broadcast.</t>
    </r>
  </si>
  <si>
    <r>
      <t>g. "Work"</t>
    </r>
    <r>
      <rPr>
        <sz val="10"/>
        <color rgb="FF333333"/>
        <rFont val="Arial"/>
        <family val="2"/>
      </rPr>
      <t> means the literary and/or artistic work offered under the terms of this License including without limitation any production in the literary, scientific and artistic domain, whatever may be the mode or form of its expression including digital form, such as a book, pamphlet and other writing; a lecture, address, sermon or other work of the same nature; a dramatic or dramatico-musical work; a choreographic work or entertainment in dumb show; a musical composition with or without words; a cinematographic work to which are assimilated works expressed by a process analogous to cinematography; a work of drawing, painting, architecture, sculpture, engraving or lithography; a photographic work to which are assimilated works expressed by a process analogous to photography; a work of applied art; an illustration, map, plan, sketch or three-dimensional work relative to geography, topography, architecture or science; a performance; a broadcast; a phonogram; a compilation of data to the extent it is protected as a copyrightable work; or a work performed by a variety or circus performer to the extent it is not otherwise considered a literary or artistic work.</t>
    </r>
  </si>
  <si>
    <r>
      <t>h. "You"</t>
    </r>
    <r>
      <rPr>
        <sz val="10"/>
        <color rgb="FF333333"/>
        <rFont val="Arial"/>
        <family val="2"/>
      </rPr>
      <t> means an individual or entity exercising rights under this License who has not previously violated the terms of this License with respect to the Work, or who has received express permission from the Licensor to exercise rights under this License despite a previous violation.</t>
    </r>
  </si>
  <si>
    <r>
      <t>i. "Publicly Perform"</t>
    </r>
    <r>
      <rPr>
        <sz val="10"/>
        <color rgb="FF333333"/>
        <rFont val="Arial"/>
        <family val="2"/>
      </rPr>
      <t> means to perform public recitations of the Work and to communicate to the public those public recitations, by any means or process, including by wire or wireless means or public digital performances; to make available to the public Works in such a way that members of the public may access these Works from a place and at a place individually chosen by them; to perform the Work to the public by any means or process and the communication to the public of the performances of the Work, including by public digital performance; to broadcast and rebroadcast the Work by any means including signs, sounds or images.</t>
    </r>
  </si>
  <si>
    <r>
      <t>j. "Reproduce"</t>
    </r>
    <r>
      <rPr>
        <sz val="10"/>
        <color rgb="FF333333"/>
        <rFont val="Arial"/>
        <family val="2"/>
      </rPr>
      <t> means to make copies of the Work by any means including without limitation by sound or visual recordings and the right of fixation and reproducing fixations of the Work, including storage of a protected performance or phonogram in digital form or other electronic medium.</t>
    </r>
  </si>
  <si>
    <r>
      <t>2. Fair Dealing Rights.</t>
    </r>
    <r>
      <rPr>
        <sz val="10"/>
        <color rgb="FF333333"/>
        <rFont val="Arial"/>
        <family val="2"/>
      </rPr>
      <t> Nothing in this License is intended to reduce, limit, or restrict any uses free from copyright or rights arising from limitations or exceptions that are provided for in connection with the copyright protection under copyright law or other applicable laws.</t>
    </r>
  </si>
  <si>
    <r>
      <t>3. License Grant.</t>
    </r>
    <r>
      <rPr>
        <sz val="10"/>
        <color rgb="FF333333"/>
        <rFont val="Arial"/>
        <family val="2"/>
      </rPr>
      <t> Subject to the terms and conditions of this License, Licensor hereby grants You a worldwide, royalty-free, non-exclusive, perpetual (for the duration of the applicable copyright) license to exercise the rights in the Work as stated below:</t>
    </r>
  </si>
  <si>
    <t>a. to Reproduce the Work, to incorporate the Work into one or more Collections, and to Reproduce the Work as incorporated in the Collections;</t>
  </si>
  <si>
    <t>b. to create and Reproduce Adaptations provided that any such Adaptation, including any translation in any medium, takes reasonable steps to clearly label, demarcate or otherwise identify that changes were made to the original Work. For example, a translation could be marked "The original work was translated from English to Spanish," or a modification could indicate "The original work has been modified.";</t>
  </si>
  <si>
    <t>c. to Distribute and Publicly Perform the Work including as incorporated in Collections; and,</t>
  </si>
  <si>
    <t>d. to Distribute and Publicly Perform Adaptations.</t>
  </si>
  <si>
    <t>The above rights may be exercised in all media and formats whether now known or hereafter devised. The above rights include the right to make such modifications as are technically necessary to exercise the rights in other media and formats. Subject to Section 8(f), all rights not expressly granted by Licensor are hereby reserved, including but not limited to the rights described in Section 4(e).</t>
  </si>
  <si>
    <r>
      <t>4. Restrictions.</t>
    </r>
    <r>
      <rPr>
        <sz val="10"/>
        <color rgb="FF333333"/>
        <rFont val="Arial"/>
        <family val="2"/>
      </rPr>
      <t> The license granted in Section 3 above is expressly made subject to and limited by the following restrictions:</t>
    </r>
  </si>
  <si>
    <t>a. You may Distribute or Publicly Perform the Work only under the terms of this License. You must include a copy of, or the Uniform Resource Identifier (URI) for, this License with every copy of the Work You Distribute or Publicly Perform. You may not offer or impose any terms on the Work that restrict the terms of this License or the ability of the recipient of the Work to exercise the rights granted to that recipient under the terms of the License. You may not sublicense the Work. You must keep intact all notices that refer to this License and to the disclaimer of warranties with every copy of the Work You Distribute or Publicly Perform. When You Distribute or Publicly Perform the Work, You may not impose any effective technological measures on the Work that restrict the ability of a recipient of the Work from You to exercise the rights granted to that recipient under the terms of the License. This Section 4(a) applies to the Work as incorporated in a Collection, but this does not require the Collection apart from the Work itself to be made subject to the terms of this License. If You create a Collection, upon notice from any Licensor You must, to the extent practicable, remove from the Collection any credit as required by Section 4(d), as requested. If You create an Adaptation, upon notice from any Licensor You must, to the extent practicable, remove from the Adaptation any credit as required by Section 4(d), as requested.</t>
  </si>
  <si>
    <t>b. You may Distribute or Publicly Perform an Adaptation only under: (i) the terms of this License; (ii) a later version of this License with the same License Elements as this License; (iii) a Creative Commons jurisdiction license (either this or a later license version) that contains the same License Elements as this License (e.g., Attribution-NonCommercial-ShareAlike 3.0 US) ("Applicable License"). You must include a copy of, or the URI, for Applicable License with every copy of each Adaptation You Distribute or Publicly Perform. You may not offer or impose any terms on the Adaptation that restrict the terms of the Applicable License or the ability of the recipient of the Adaptation to exercise the rights granted to that recipient under the terms of the Applicable License. You must keep intact all notices that refer to the Applicable License and to the disclaimer of warranties with every copy of the Work as included in the Adaptation You Distribute or Publicly Perform. When You Distribute or Publicly Perform the Adaptation, You may not impose any effective technological measures on the Adaptation that restrict the ability of a recipient of the Adaptation from You to exercise the rights granted to that recipient under the terms of the Applicable License. This Section 4(b) applies to the Adaptation as incorporated in a Collection, but this does not require the Collection apart from the Adaptation itself to be made subject to the terms of the Applicable License.</t>
  </si>
  <si>
    <t>c. You may not exercise any of the rights granted to You in Section 3 above in any manner that is primarily intended for or directed toward commercial advantage or private monetary compensation. The exchange of the Work for other copyrighted works by means of digital file-sharing or otherwise shall not be considered to be intended for or directed toward commercial advantage or private monetary compensation, provided there is no payment of any monetary compensation in con-nection with the exchange of copyrighted works.</t>
  </si>
  <si>
    <t>d. If You Distribute, or Publicly Perform the Work or any Adaptations or Collections, You must, unless a request has been made pursuant to Section 4(a), keep intact all copyright notices for the Work and provide, reasonable to the medium or means You are utilizing: (i) the name of the Original Author (or pseudonym, if applicable) if supplied, and/or if the Original Author and/or Licensor designate another party or parties (e.g., a sponsor institute, publishing entity, journal) for attribution ("Attribution Parties") in Licensor's copyright notice, terms of service or by other reasonable means, the name of such party or parties; (ii) the title of the Work if supplied; (iii) to the extent reasonably practicable, the URI, if any, that Licensor specifies to be associated with the Work, unless such URI does not refer to the copyright notice or licensing information for the Work; and, (iv) consistent with Section 3(b), in the case of an Adaptation, a credit identifying the use of the Work in the Adaptation (e.g., "French translation of the Work by Original Author," or "Screenplay based on original Work by Original Author"). The credit required by this Section 4(d) may be implemented in any reasonable manner; provided, however, that in the case of a Adaptation or Collection, at a minimum such credit will appear, if a credit for all contributing authors of the Adaptation or Collection appears, then as part of these credits and in a manner at least as prominent as the credits for the other contributing authors. For the avoidance of doubt, You may only use the credit required by this Section for the purpose of attribution in the manner set out above and, by exercising Your rights under this License, You may not implicitly or explicitly assert or imply any connection with, sponsorship or endorsement by the Original Author, Licensor and/or Attribution Parties, as appropriate, of You or Your use of the Work, without the separate, express prior written permission of the Original Author, Licensor and/or Attribution Parties.</t>
  </si>
  <si>
    <t>e. For the avoidance of doubt:</t>
  </si>
  <si>
    <r>
      <t>i. Non-waivable Compulsory License Schemes</t>
    </r>
    <r>
      <rPr>
        <sz val="10"/>
        <color rgb="FF333333"/>
        <rFont val="Arial"/>
        <family val="2"/>
      </rPr>
      <t>. In those jurisdictions in which the right to collect royalties through any statutory or compulsory licensing scheme cannot be waived, the Licensor reserves the exclusive right to collect such royalties for any exercise by You of the rights granted under this License;</t>
    </r>
  </si>
  <si>
    <r>
      <t>ii. Waivable Compulsory License Schemes</t>
    </r>
    <r>
      <rPr>
        <sz val="10"/>
        <color rgb="FF333333"/>
        <rFont val="Arial"/>
        <family val="2"/>
      </rPr>
      <t>. In those jurisdictions in which the right to collect royalties through any statutory or compulsory licensing scheme can be waived, the Licensor reserves the exclusive right to collect such royalties for any exercise by You of the rights granted under this License if Your exercise of such rights is for a purpose or use which is otherwise than noncommercial as permitted under Section 4(c) and otherwise waives the right to collect royalties through any statutory or compulsory licensing scheme; and,</t>
    </r>
  </si>
  <si>
    <r>
      <t>iii. Voluntary License Schemes</t>
    </r>
    <r>
      <rPr>
        <sz val="10"/>
        <color rgb="FF333333"/>
        <rFont val="Arial"/>
        <family val="2"/>
      </rPr>
      <t>. The Licensor reserves the right to collect royalties, whether individually or, in the event that the Licensor is a member of a collecting society that administers voluntary licensing schemes, via that society, from any exercise by You of the rights granted under this License that is for a purpose or use which is otherwise than noncommercial as permitted under Section 4(c).</t>
    </r>
  </si>
  <si>
    <t>f. Except as otherwise agreed in writing by the Licensor or as may be otherwise permitted by applicable law, if You Reproduce, Distribute or Publicly Perform the Work either by itself or as part of any Adaptations or Collections, You must not distort, mutilate, modify or take other derogatory action in relation to the Work which would be prejudicial to the Original Author's honor or reputation. Licensor agrees that in those jurisdictions (e.g. Japan), in which any exercise of the right granted in Section 3(b) of this License (the right to make Adaptations) would be deemed to be a distortion, mutilation, modification or other derogatory action prejudicial to the Original Author's honor and reputation, the Licensor will waive or not assert, as appropriate, this Section, to the fullest extent permitted by the applicable national law, to enable You to reasonably exercise Your right under Section 3(b) of this License (right to make Adaptations) but not otherwise.</t>
  </si>
  <si>
    <t>5. Representations, Warranties and Disclaimer</t>
  </si>
  <si>
    <t>UNLESS OTHERWISE MUTUALLY AGREED TO BY THE PARTIES IN WRITING AND TO THE FULLEST EXTENT PERMITTED BY APPLICABLE LAW, LICENSOR OFFERS THE WORK AS-IS AND MAKES NO REPRESENTATIONS OR WARRANTIES OF ANY KIND CONCERNING THE WORK, EXPRESS, IMPLIED, STATUTORY OR OTHERWISE, INCLUDING, WITHOUT LIMITATION, WARRANTIES OF TITLE, MERCHANTABILITY, FITNESS FOR A PARTICULAR PURPOSE, NONINFRINGEMENT, OR THE ABSENCE OF LATENT OR OTHER DEFECTS, ACCURACY, OR THE PRESENCE OF ABSENCE OF ERRORS, WHETHER OR NOT DISCOVERABLE. SOME JURISDICTIONS DO NOT ALLOW THE EXCLUSION OF IMPLIED WARRANTIES, SO THIS EXCLUSION MAY NOT APPLY TO YOU.</t>
  </si>
  <si>
    <r>
      <t>6. Limitation on Liability.</t>
    </r>
    <r>
      <rPr>
        <sz val="10"/>
        <color rgb="FF333333"/>
        <rFont val="Arial"/>
        <family val="2"/>
      </rPr>
      <t> EXCEPT TO THE EXTENT REQUIRED BY APPLICABLE LAW, IN NO EVENT WILL LICENSOR BE LIABLE TO YOU ON ANY LEGAL THEORY FOR ANY SPECIAL, INCIDENTAL, CONSEQUENTIAL, PUNITIVE OR EXEMPLARY DAMAGES ARISING OUT OF THIS LICENSE OR THE USE OF THE WORK, EVEN IF LICENSOR HAS BEEN ADVISED OF THE POSSIBILITY OF SUCH DAMAGES.</t>
    </r>
  </si>
  <si>
    <t>7. Termination</t>
  </si>
  <si>
    <t>a. This License and the rights granted hereunder will terminate automatically upon any breach by You of the terms of this License. Individuals or entities who have received Adaptations or Collections from You under this License, however, will not have their licenses terminated provided such individuals or entities remain in full compliance with those licenses. Sections 1, 2, 5, 6, 7, and 8 will survive any termination of this License.</t>
  </si>
  <si>
    <t>b. Subject to the above terms and conditions, the license granted here is perpetual (for the duration of the applicable copyright in the Work). Notwithstanding the above, Licensor reserves the right to release the Work under different license terms or to stop distributing the Work at any time; provided, however that any such election will not serve to withdraw this License (or any other license that has been, or is required to be, granted under the terms of this License), and this License will continue in full force and effect unless terminated as stated above.</t>
  </si>
  <si>
    <t>8. Miscellaneous</t>
  </si>
  <si>
    <t>a. Each time You Distribute or Publicly Perform the Work or a Collection, the Licensor offers to the recipient a license to the Work on the same terms and conditions as the license granted to You under this License.</t>
  </si>
  <si>
    <t>b. Each time You Distribute or Publicly Perform an Adaptation, Licensor offers to the recipient a license to the original Work on the same terms and conditions as the license granted to You under this License.</t>
  </si>
  <si>
    <t>c. If any provision of this License is invalid or unenforceable under applicable law, it shall not affect the validity or enforceability of the remainder of the terms of this License, and without further action by the parties to this agreement, such provision shall be reformed to the minimum extent necessary to make such provision valid and enforceable.</t>
  </si>
  <si>
    <t>d. No term or provision of this License shall be deemed waived and no breach consented to unless such waiver or consent shall be in writing and signed by the party to be charged with such waiver or consent.</t>
  </si>
  <si>
    <t>e. This License constitutes the entire agreement between the parties with respect to the Work licensed here. There are no understandings, agreements or representations with respect to the Work not specified here. Licensor shall not be bound by any additional provisions that may appear in any communication from You. This License may not be modified without the mutual written agreement of the Licensor and You.</t>
  </si>
  <si>
    <t>f. The rights granted under, and the subject matter referenced, in this License were drafted utilizing the terminology of the Berne Convention for the Protection of Literary and Artistic Works (as amended on September 28, 1979), the Rome Convention of 1961, the WIPO Copyright Treaty of 1996, the WIPO Performances and Phonograms Treaty of 1996 and the Universal Copyright Convention (as revised on July 24, 1971). These rights and subject matter take effect in the relevant jurisdiction in which the License terms are sought to be enforced according to the corresponding provisions of the implementation of those treaty provisions in the applicable national law. If the standard suite of rights granted under applicable copyright law includes additional rights not granted under this License, such additional rights are deemed to be included in the License; this License is not intended to restrict the license of any rights under applicable law.</t>
  </si>
  <si>
    <t>Miscanthus P2O5 1</t>
  </si>
  <si>
    <t>Miscanthus P2O5 2</t>
  </si>
  <si>
    <t>Miscanthus P2O5 3</t>
  </si>
  <si>
    <t>Miscanthus P2O5 4</t>
  </si>
  <si>
    <t>Miscanthus P2O5 5</t>
  </si>
  <si>
    <t>Miscanthus K2O 1</t>
  </si>
  <si>
    <t>Miscanthus K2O 2</t>
  </si>
  <si>
    <t>Miscanthus K2O 3</t>
  </si>
  <si>
    <t>Miscanthus K2O 4</t>
  </si>
  <si>
    <t>Miscanthus K2O 5</t>
  </si>
  <si>
    <t>Poplar P2O5 1</t>
  </si>
  <si>
    <t>Poplar P2O5 2</t>
  </si>
  <si>
    <t>Poplar P2O5 3</t>
  </si>
  <si>
    <t>Poplar K2O 1</t>
  </si>
  <si>
    <t>Poplar K2O 2</t>
  </si>
  <si>
    <t>Poplar K2O 3</t>
  </si>
  <si>
    <t>Reinhardt, G.A., 1992. Energie und CO2 bilanzierung nachwachsender rohstoffe.Theoretische grundlagen und fallstudie raps. Vieweg Verlag, Wiesbaden, Germany.</t>
  </si>
  <si>
    <t>seed switchgrass 1</t>
  </si>
  <si>
    <t>seed switchgrass 2</t>
  </si>
  <si>
    <t>seed switchgrass 3</t>
  </si>
  <si>
    <t>seed switchgrass 4</t>
  </si>
  <si>
    <t>Herbicides energy 6</t>
  </si>
  <si>
    <t>Nitrogen GHG</t>
  </si>
  <si>
    <t>Diesel 5</t>
  </si>
  <si>
    <t>Shapouri,H. and , A. McAloon. The 2001 net energy balance of corn ethanol. (U.S. Department of Agriculture, Washington, DC, 2004). Also available at www.usda.gov/oce/oepnu.)</t>
  </si>
  <si>
    <t>Phosphate GHG</t>
  </si>
  <si>
    <t>Potash GHG</t>
  </si>
  <si>
    <r>
      <t xml:space="preserve">Robertson, G. P., E. A. Paul, and R. R. Harwood. 2000. Greenhouse Gases in Intensive Agriculture: Contributions of Individual Gases to the Radiative Forcing of the Atmosphere. </t>
    </r>
    <r>
      <rPr>
        <i/>
        <sz val="12"/>
        <color theme="1"/>
        <rFont val="Times New Roman"/>
        <family val="1"/>
      </rPr>
      <t>Science</t>
    </r>
    <r>
      <rPr>
        <sz val="12"/>
        <color theme="1"/>
        <rFont val="Times New Roman"/>
        <family val="1"/>
      </rPr>
      <t xml:space="preserve"> 289(5486):1922-1925.</t>
    </r>
  </si>
  <si>
    <t>Davis, C. H., and G. M. Blouin. 1977. Energy consumption in the U.S. chemical fertilizer system from ground to ground. In Agriculture and energy. W. Lockeretz, ed. New York, NY: Academic Press.</t>
  </si>
  <si>
    <t>Panesar, B. S., and A. P. Bhatnagar. 1987. Energy norms for inputs and outputs of agricultural sector. In Indian Society of Agricultural Engineers National Conference. J. P. Mittal, B. S. Panesar, S. Singh, C. P. Singh, Y. Singh, and K. D. Manan, eds. Punjab Agricultural University.</t>
  </si>
  <si>
    <t>Maurya, N. L., R. E. Muller, and R. M. Peart. 1981. Energy input-output in corn residue harvest. In Agricultural Energy. St. Joseph: American Society of Agricultural Engineers.</t>
  </si>
  <si>
    <t>Lewis, D. A., and J. A. Tatchell. 1979. Energy in UK agriculture. Journal of the Science of Food and Agriculture 30(5):449-457.</t>
  </si>
  <si>
    <t>Nitrogen 12</t>
  </si>
  <si>
    <t>Nitrogen 13</t>
  </si>
  <si>
    <t>Kaltschmitt, M., and G. A. Reinhardt. 1997. Nachwachsende energieträger – grundlagen, verfaben, Ökologische Bilanzierung. Vieweg, Braunschweig/Weisbaden, Germany</t>
  </si>
  <si>
    <t>Herbicides energy 7</t>
  </si>
  <si>
    <t>Insecticides energy 5</t>
  </si>
  <si>
    <t>Insecticides energy 6</t>
  </si>
  <si>
    <t>Nemecek, T. and S. Erzinger.2003. Agricultural production systems. Special LCA forum, December 5, 2003, EPFL Lausanne. Ecoinvent.org. http://www.ecoinvent.org/fileadmin/documents/en/presentation_papers/agriculture_DF_eng.pdf</t>
  </si>
  <si>
    <t>Van Groenigen et al. 2010, N2O</t>
  </si>
  <si>
    <t>Additional N2O methodologies</t>
  </si>
  <si>
    <t>Mortimer, N.D., P. Cormack, M.A. Elsayed and R.E. Horne.2003. Evaluation of the comparative energy, global warming and social costs and benefits of biodiesel. Resources research unit, Sheffield Hallan University, United Kingdom.</t>
  </si>
  <si>
    <t>Hybrid poplar</t>
  </si>
  <si>
    <t>Machinery production</t>
  </si>
  <si>
    <t>Machinery 1</t>
  </si>
  <si>
    <t>Machinery 2</t>
  </si>
  <si>
    <t>Berry, R.S., and F.M. Fulton. 1972. The production and consumption of automobiles. An energy analysis of the manufacture, discard and reuse of the automobile and its components materials. A report to the Illinois institute for environmental quality. Department of Chemistry, University of Chicago 74p.</t>
  </si>
  <si>
    <t>labor 1</t>
  </si>
  <si>
    <t>labor 2</t>
  </si>
  <si>
    <t>MJ/hr</t>
  </si>
  <si>
    <t>Patzek TW. 2004. Thermodynamics of the corn-ethanol biofuel cycle. Critical Reviews in Plant Sciences 23: 519-567.</t>
  </si>
  <si>
    <t>Labor metabolic energy</t>
  </si>
  <si>
    <t>Zhang T, Dornfeld D. 2007. Energy use per worker-hour: evaluating the contribution of labor to manufacturing energy use. Paper presented at 14th CIRP International Conference on Life Cycle Engineering; June 11-13. Tokio, Japan.</t>
  </si>
  <si>
    <t>Shrestha DS. 1998. Energy use efficiency indicator for agriculture</t>
  </si>
  <si>
    <t>MJ/kg N</t>
  </si>
  <si>
    <t>Ammonium nitrate - N fertilizer</t>
  </si>
  <si>
    <t>Urea - N fertilizer</t>
  </si>
  <si>
    <t>Ammonia - N fertilizer</t>
  </si>
  <si>
    <t>Ammonia 1</t>
  </si>
  <si>
    <t>Urea 1</t>
  </si>
  <si>
    <t>Ammonium nitrate 1</t>
  </si>
  <si>
    <t>Urea ammonium nitrate 1</t>
  </si>
  <si>
    <t>Ammonium sulfate - N fertilizer</t>
  </si>
  <si>
    <t>Ammonium sulfate 1</t>
  </si>
  <si>
    <t>Monoammonium phosphate - N fertilizer</t>
  </si>
  <si>
    <t>Monoammonium phosphate 1</t>
  </si>
  <si>
    <t>Diamonium phosphate - N fertilizer</t>
  </si>
  <si>
    <t>Diamonium phosphate 1</t>
  </si>
  <si>
    <t>Diammonium phosphate 1</t>
  </si>
  <si>
    <t>Triple super phosphate 1</t>
  </si>
  <si>
    <t>Potash energy stats</t>
  </si>
  <si>
    <t>Potash 1</t>
  </si>
  <si>
    <t>Potash 2</t>
  </si>
  <si>
    <t>Potash 3</t>
  </si>
  <si>
    <t>Potash 4</t>
  </si>
  <si>
    <t>Potash 5</t>
  </si>
  <si>
    <t>Potash 6</t>
  </si>
  <si>
    <t>Potash 7</t>
  </si>
  <si>
    <t>Potash 8</t>
  </si>
  <si>
    <t>Potash 9</t>
  </si>
  <si>
    <t>Potash 10</t>
  </si>
  <si>
    <t>Potash 11</t>
  </si>
  <si>
    <t>Potash 12</t>
  </si>
  <si>
    <t>Potash - K fertilizer</t>
  </si>
  <si>
    <t>Potash</t>
  </si>
  <si>
    <t>MJ/kg K</t>
  </si>
  <si>
    <t>Ammonia 2</t>
  </si>
  <si>
    <t>Ammonia 3</t>
  </si>
  <si>
    <t>Ammonium nitrate 2</t>
  </si>
  <si>
    <t>Ammonia 4 (modern)</t>
  </si>
  <si>
    <t>Kongshaug G, Jenssen TK. 2003. Energy Consumption and Greenhouse Gas Emissions in Fertilizer Production. International Fertilizer Society Meeting. London.</t>
  </si>
  <si>
    <t>Ammonia 1 (modern)</t>
  </si>
  <si>
    <t>kg CO2e/kg N</t>
  </si>
  <si>
    <t>Ammonia 4 (EU average)</t>
  </si>
  <si>
    <t>Urea ammonium nitrate 2</t>
  </si>
  <si>
    <t>Urea 2 (average EU)</t>
  </si>
  <si>
    <t>Ammonium nitrate 3 (modern)</t>
  </si>
  <si>
    <t>Ammonium nitrate 4 (EU average)</t>
  </si>
  <si>
    <t>Ammonium sulfate 2 (modern)</t>
  </si>
  <si>
    <t>Ammonium sulfate 3 (EU average)</t>
  </si>
  <si>
    <t>Calcium nitrate - N fertilizer</t>
  </si>
  <si>
    <t>Calcium nitrate 1 (modern)</t>
  </si>
  <si>
    <t>Calcium nitrate 2 (EU average)</t>
  </si>
  <si>
    <t>Potassium nitrate 1 (modern)</t>
  </si>
  <si>
    <t>Potassium nitrate 2 (EU average)</t>
  </si>
  <si>
    <t>Liquid urean ammonium nitrate (UAN) - N fertilizer</t>
  </si>
  <si>
    <t>Urea ammonium nitrate (UAN) - N fertilizer</t>
  </si>
  <si>
    <t>Liquid urean ammonium nitrate 1</t>
  </si>
  <si>
    <t>Liquid urean ammonium nitrate 2</t>
  </si>
  <si>
    <t>Monoammonium phosphate 2 (modern)</t>
  </si>
  <si>
    <t>Monoammonium phosphate 2 (EU average)</t>
  </si>
  <si>
    <t>MJ/ kg K2O</t>
  </si>
  <si>
    <t>Potassium cloride 1 (EU average)</t>
  </si>
  <si>
    <t>Potassium sulphate (SOP) - K2O fertilizer</t>
  </si>
  <si>
    <t>Potassium sulphate 1</t>
  </si>
  <si>
    <t>Ammonia 5</t>
  </si>
  <si>
    <t>Davis J, Haglund C (1999). ’’Life Cycle Inventory (LCI) of Fertiliser Production - Fertiliser Products Used in Sweden and Western Europe’’. SIK report no. 654. The Swedish Institute for Food and Biotechnology (SIK). Gothenburg, Sweden.</t>
  </si>
  <si>
    <t>General N fertilizer</t>
  </si>
  <si>
    <t>General N 1</t>
  </si>
  <si>
    <t>CPM LCA Database. Available at http://cpmdatabase.cpm.chalmers.se/Scripts/sheet.asp?ActId=STRCPM0071998-02-16855</t>
  </si>
  <si>
    <t>Machinery 3</t>
  </si>
  <si>
    <t>Nemecek T, Kagi T. 2007. Life Cycle Inventories of Agricultural Production Systems. Ecoinvent.</t>
  </si>
  <si>
    <r>
      <t xml:space="preserve">Machinery </t>
    </r>
    <r>
      <rPr>
        <b/>
        <i/>
        <sz val="11"/>
        <color theme="1"/>
        <rFont val="Calibri"/>
        <family val="2"/>
        <scheme val="minor"/>
      </rPr>
      <t>ecoinvent database</t>
    </r>
  </si>
  <si>
    <t>Maintenance</t>
  </si>
  <si>
    <t>Repair</t>
  </si>
  <si>
    <t>Manufacture</t>
  </si>
  <si>
    <t xml:space="preserve">    Class</t>
  </si>
  <si>
    <t>Tractors</t>
  </si>
  <si>
    <t>Harvesters</t>
  </si>
  <si>
    <t>Trailers</t>
  </si>
  <si>
    <t>Agricultural machinery, general</t>
  </si>
  <si>
    <t>Agricultural machinery, tillage</t>
  </si>
  <si>
    <t>Slurry tankers</t>
  </si>
  <si>
    <t xml:space="preserve">    Repair factor</t>
  </si>
  <si>
    <t>MJ/kg machinery</t>
  </si>
  <si>
    <t xml:space="preserve">    Repair value</t>
  </si>
  <si>
    <t>Total cummulative value</t>
  </si>
  <si>
    <t>Diesel specific density</t>
  </si>
  <si>
    <t>kg/L</t>
  </si>
  <si>
    <t>Ecoinvent diesel</t>
  </si>
  <si>
    <t>Irrigation</t>
  </si>
  <si>
    <t>ecoinvent database</t>
  </si>
  <si>
    <t xml:space="preserve">    electricity</t>
  </si>
  <si>
    <t xml:space="preserve">    diesel</t>
  </si>
  <si>
    <t>kwh/ha</t>
  </si>
  <si>
    <t>Ammonia 7 (Best Available Technique)</t>
  </si>
  <si>
    <t>EFMA. 2000. Production of Ammonia. Brussels, Belgium: European Fertilizer Manufacturers' Association.http://www.diquima.upm.es/docencia/tqi/docs/amonia00.pdf</t>
  </si>
  <si>
    <t>Ammonia 8 (partial oxidation process)</t>
  </si>
  <si>
    <t>Ammonia other refs</t>
  </si>
  <si>
    <t>Monoammonium phosphate 2</t>
  </si>
  <si>
    <t>Monoammonium phosphate 3</t>
  </si>
  <si>
    <t>EFMA. 2007. Reference document on best available techniques for the manufacture of large volume inorganic chemicals - ammonia, acids and fertilisers. http://www.efma.org/site/index.php?eID=tx_nawsecuredl&amp;u=0&amp;file=fileadmin/user_upload/documents/BATREFAAFfinalaugust2007.pdf&amp;t=1340664670&amp;hash=583449ece6cc04a322fe1f9559682db837e074c5</t>
  </si>
  <si>
    <t>Diammonium phosphate 2 (modern)</t>
  </si>
  <si>
    <t>Diammonium phosphate 3 (EU average)</t>
  </si>
  <si>
    <t>Diammonium phosphate 4</t>
  </si>
  <si>
    <t xml:space="preserve">Potassium nitrate 3 </t>
  </si>
  <si>
    <t>MJ/kg P2O5</t>
  </si>
  <si>
    <t>Diammonium phosphate 2</t>
  </si>
  <si>
    <t>Potassium nitrate (KN) - K2O fertilizer</t>
  </si>
  <si>
    <t>Potassium nitrate 1</t>
  </si>
  <si>
    <t>Potassium nitrate (KN) - N fertilizer</t>
  </si>
  <si>
    <t>Ammonia 6 (1987)</t>
  </si>
  <si>
    <t>Bhat MG, English BC, Turhollow AF, Nyangito HO. 1994. Energy in Synthetic Fertilizers and Pesticides: Revisited. Oak Ridge, TN: Oak Ridge National Laboratory.</t>
  </si>
  <si>
    <t>Urea 3 (modern)</t>
  </si>
  <si>
    <t>Urea 4 (1987)</t>
  </si>
  <si>
    <t>Ammonium nitrate 5 (1987)</t>
  </si>
  <si>
    <t>Urea ammonium nitrate 3 (1987)</t>
  </si>
  <si>
    <t>Ammonium sulfate 4 (1987)</t>
  </si>
  <si>
    <t>Potassium cloride (Muriate of potash) - K2O fertilizer</t>
  </si>
  <si>
    <t>Potassium cloride 2 (1985)</t>
  </si>
  <si>
    <t>Phophate rock 1</t>
  </si>
  <si>
    <t>Triple super phosphate 2</t>
  </si>
  <si>
    <t>Single super phosphate - P2O5 fertilizer</t>
  </si>
  <si>
    <t>Triple super phosphate - P2O5 fertilizer</t>
  </si>
  <si>
    <t>Diammonium phosphate -P2O5 fertilizer</t>
  </si>
  <si>
    <t>Monoammonium phosphate - P2O5 fertilizer</t>
  </si>
  <si>
    <t>Phophate rock - P2O5 fertilizer</t>
  </si>
  <si>
    <t>Diammonium phosphate 5 (1987)</t>
  </si>
  <si>
    <t>Monoammonium phosphate 4 (1987)</t>
  </si>
  <si>
    <t>Monoammonium phosphate 3 (1987)</t>
  </si>
  <si>
    <t>Diammonium phosphate 3 (1987)</t>
  </si>
  <si>
    <t>Specific herbicides</t>
  </si>
  <si>
    <t>Metoachlor</t>
  </si>
  <si>
    <t>Norflurazon</t>
  </si>
  <si>
    <t>Glyphosate 1</t>
  </si>
  <si>
    <t>Glyphosate 2</t>
  </si>
  <si>
    <t>MJ/kg a.i.</t>
  </si>
  <si>
    <t>Bromoxynil</t>
  </si>
  <si>
    <t>Propanil</t>
  </si>
  <si>
    <t>Bentazon</t>
  </si>
  <si>
    <t>2,4-D</t>
  </si>
  <si>
    <t>MCPA</t>
  </si>
  <si>
    <t>Trifluralin</t>
  </si>
  <si>
    <t>Cyanazine</t>
  </si>
  <si>
    <t>Methazole</t>
  </si>
  <si>
    <t>EPTC</t>
  </si>
  <si>
    <t>Molinate</t>
  </si>
  <si>
    <t>Pendimethalin</t>
  </si>
  <si>
    <t>Butylate</t>
  </si>
  <si>
    <t>Alachor</t>
  </si>
  <si>
    <t>Isopropalin</t>
  </si>
  <si>
    <t>Fluazifop-Methyl</t>
  </si>
  <si>
    <t>Chlorsulphuron</t>
  </si>
  <si>
    <t>Metribuzin</t>
  </si>
  <si>
    <t>Atrazine</t>
  </si>
  <si>
    <t>Prometryn</t>
  </si>
  <si>
    <t>Diuron</t>
  </si>
  <si>
    <t>Linuron</t>
  </si>
  <si>
    <t>Specific insecticides</t>
  </si>
  <si>
    <t>Chlofpyrifos</t>
  </si>
  <si>
    <t>Fonofos</t>
  </si>
  <si>
    <t>Fenulfothion</t>
  </si>
  <si>
    <t>Terbufos</t>
  </si>
  <si>
    <t>Carbofuran</t>
  </si>
  <si>
    <t>Specific fungicides</t>
  </si>
  <si>
    <t>Benomyl</t>
  </si>
  <si>
    <t>Fluometuron</t>
  </si>
  <si>
    <t>Glyphosate 3</t>
  </si>
  <si>
    <t>Green, M.B., 1987. Energy in pesticide manufacture, distribution and use. In: B.A. Stout and M.S. Mudahar (Editors), Energy in Plant Nutrition and Pest Control. Elsevier, Amsterdam, pp. 165-177.</t>
  </si>
  <si>
    <t>Dicamba 1</t>
  </si>
  <si>
    <t>Dicamba 2</t>
  </si>
  <si>
    <t>Irrigation 1</t>
  </si>
  <si>
    <t>MJ/m3/m</t>
  </si>
  <si>
    <t>Batty JC, Keller J. 1980. Energy requirements for irrigation. Pages 35-44 in Pimentel D, ed. Handbook of energy utilization in agriculture. CRC Press.</t>
  </si>
  <si>
    <t>Drying corn 6</t>
  </si>
  <si>
    <t>Drying corn (additional)(maize)</t>
  </si>
  <si>
    <t>Specific N fertilizers</t>
  </si>
  <si>
    <t>Gilbert P, Thornley P. 2012. Energy and Carbon Balance of Ammonia Production from Biomass Gasification. University of Manchester.</t>
  </si>
  <si>
    <t>Creative Commons License</t>
  </si>
  <si>
    <t>Copyright © 2012 The Pennsylvania State University</t>
  </si>
  <si>
    <t>LPG (drying)</t>
  </si>
  <si>
    <t>Ammonium nitrate 6</t>
  </si>
  <si>
    <t>Lewis DA. 1982. The role of energy in UK agriculture. Pages 43-65 in D.W. R, R.C. M, eds. First International Summer School in Agriculture. Dublin, Ireland: Royal Dublin Society.</t>
  </si>
  <si>
    <t>Urea 5</t>
  </si>
  <si>
    <t>Ammonia 9</t>
  </si>
  <si>
    <t>Stout BA. 1990. Handbook of energy for world agriculture. Elsevier Science Publishers.</t>
  </si>
  <si>
    <t>Machinery 4</t>
  </si>
  <si>
    <t>Rathke GW, Wienhold BJ, Wilhelm WW, Diepenbrock W. 2007. Tillage and rotation effect on corn–soybean energy balances in eastern Nebraska. Soil and Tillage Research 97: 60-70.</t>
  </si>
  <si>
    <t>Mg WM/ha/yr</t>
  </si>
  <si>
    <t>NASS. 2012. National Agricultural Statistics Service. Available online at http://quickstats.nass.usda.gov/</t>
  </si>
  <si>
    <t>PSU Agronomy guide 2012- soil fertility management. Fertilizer recommendations. Available online at  http://extension.psu.edu/agronomy-guide/cm/tables/table1-2-5.pdf</t>
  </si>
  <si>
    <t>Hoben et al. 2011, N2O</t>
  </si>
  <si>
    <t>Farm total (kg CO2e/yr)</t>
  </si>
  <si>
    <t>Total farmland GHG prodution</t>
  </si>
  <si>
    <t>Nitrous oxide from N (IPCC method)</t>
  </si>
  <si>
    <t>Energy to produce manure</t>
  </si>
  <si>
    <t xml:space="preserve">MJ/ L </t>
  </si>
  <si>
    <t xml:space="preserve">Gustavo Carmargo. 2009. MS Thesis. The Pennsylvania State University </t>
  </si>
  <si>
    <t>Compost transportation</t>
  </si>
  <si>
    <t>L/kg/km</t>
  </si>
  <si>
    <t>Sharma, G., Campbell, A., 2007. Life cycle inventory and life cycle assessment for windrow composting systems. Recycled Organics Unit, Sydney, Australia, p. 171.</t>
  </si>
  <si>
    <t>Compost N content 1</t>
  </si>
  <si>
    <t>kgN/kgcompost</t>
  </si>
  <si>
    <t>Mangan, F., Barker, A., Bodine, S., Borten, P., 1996. Compost use and soil fertility. University of Massachussetts Amherst, Amherst, MA.</t>
  </si>
  <si>
    <t>Organic Fertilizer</t>
  </si>
  <si>
    <t>Compost N content 2</t>
  </si>
  <si>
    <t>van Haaren, R., Themelis, N.J., Barlaz, M., 2010. LCA comparison of windrow composting of yard wastes with use as alternative daily cover (ADC). Waste Management 30, 2649-2656.</t>
  </si>
  <si>
    <t>Primary Tillage</t>
  </si>
  <si>
    <t>Moldboard plow</t>
  </si>
  <si>
    <t>Moldboard plow 1</t>
  </si>
  <si>
    <t>L/ha</t>
  </si>
  <si>
    <t>Shelton, D.P., K. Von Burgen, A.S. Al-Jiburi.1980. Nebraska on-farm fuel use survey. Trans ASAE 23:1089-92.</t>
  </si>
  <si>
    <t>Moldboard plow 2</t>
  </si>
  <si>
    <t>Lockeretz, W.1983.Energy implications of conservation tillage. J Soil Water Conserv. pp. 207-11.</t>
  </si>
  <si>
    <t>Moldboard plow 3</t>
  </si>
  <si>
    <t>Schrock, M.D., J.K. Kramer, S.J. Clark. 1985. Fuel requirements for field operations in Kansas. Trans ASAE 28:669-874.</t>
  </si>
  <si>
    <t>Moldboard plow 4</t>
  </si>
  <si>
    <t>Bowers, C.G. 1989. Tillage draft and energy measurements for twelve southeastern soil series. Trans ASAE 32 1492-502.</t>
  </si>
  <si>
    <t>Moldboard plow 5</t>
  </si>
  <si>
    <t>Helsel, Z. and T. Oguntunde. 1981. Fuel requirements for field operations. Energy facts. Cooperative Extension Service Michigan State University. Extension Bulletin E-1535.</t>
  </si>
  <si>
    <t>Moldboard plow 7</t>
  </si>
  <si>
    <t>Ayres, G.E. 2000. Fuel required for field operations - Iowa State University</t>
  </si>
  <si>
    <t>Moldboard plow 8</t>
  </si>
  <si>
    <t>Lobb, D., 1989. A study of the impact of no-till on tractor fuel cost vs. crop returns. Agricultural Energy Centre, Guelph, Ont., 19PP.</t>
  </si>
  <si>
    <t>Moldboard plow 9</t>
  </si>
  <si>
    <t>Moldboard plow 10</t>
  </si>
  <si>
    <t>Adler, P.R., Del Grosso, S., Parton, W.J. 2007. Life-cycle assessment of net greenhouse-gas flux for bioenergy cropping systems. Ecological applications 17(3) pp. 675-691.</t>
  </si>
  <si>
    <t>IFSM fuel consumption based on ASAE 2000 standards</t>
  </si>
  <si>
    <t>Moldboard plow 12</t>
  </si>
  <si>
    <t>Vaughan, D.H., E.S.Smith and H.A. Hughes. 1977. Energy requirements of reduced tillage practices for corn and soybean production in virginia.In: Lockeretz,W. Agriculture and energy. Academic press. pp. 245-60</t>
  </si>
  <si>
    <t>Moldboard plow 13</t>
  </si>
  <si>
    <t>Griffith,D.R., J.V. Mannering and C.B. Richey. 1977. Energy requirements and areas of adaptation for eight tillage-planting systems for corn. In: Lockeretz,W. Agriculture and Energy. Academic Press. pp.261 - 76</t>
  </si>
  <si>
    <t>Moldboard plow 14</t>
  </si>
  <si>
    <t>Frye, W.W.,S.H. Phillips.1981. How to grow crops with less energy. In Cutting energy costs (1980 yearbook of agriculture). J. Hayes(editor). U.S. Dept.Agric. Washington,DC.</t>
  </si>
  <si>
    <t>Moldboard plow 15</t>
  </si>
  <si>
    <t>Nix, J.1996. Farm Management Pocketbook. Wye College, University of London.</t>
  </si>
  <si>
    <t>Moldboard plow 16</t>
  </si>
  <si>
    <t>Plouffe, C., N.B. McLaughlin, S. Tessier, and C. Lague. 1995. Energy requirements and depth stability of two different moldboard plow bottoms in a heavy clay soil. Can. Agric. Eng. 37:279-285.</t>
  </si>
  <si>
    <t>Moldboard plow 17</t>
  </si>
  <si>
    <t>Collins, N.E., T.H. Williams and L.J. Kemble. 1980. Measured machine energy requirements for grain production systems. In: Agricultural Energy vol. 2. ASABE St Joseph, MI.</t>
  </si>
  <si>
    <t>Moldboard plow 18</t>
  </si>
  <si>
    <t>McLaughlin, N.B., C.F. Drury, W.D. Reynolds, X.M. Yang, Y.X.Li, T.W. Welacky and G. Steward. 2008. Energy inputs for conservation and conventional primary tillage implements in a clay loam soil. Trans. ASABE Vol51(4): 1153-1163.</t>
  </si>
  <si>
    <t>Chisel plow</t>
  </si>
  <si>
    <t>Chisel plow 1</t>
  </si>
  <si>
    <t>Chisel plow 2</t>
  </si>
  <si>
    <t>Chisel plow 3</t>
  </si>
  <si>
    <t>Chisel plow 4</t>
  </si>
  <si>
    <t>Chisel plow 5</t>
  </si>
  <si>
    <t>Chisel plow 6</t>
  </si>
  <si>
    <t>Koller K. 1996. Production de cereals sous labor. Rev Suisse Agric 28:30</t>
  </si>
  <si>
    <t>Chisel plow 7</t>
  </si>
  <si>
    <t>Chisel plow 8</t>
  </si>
  <si>
    <t>Chisel plow 9</t>
  </si>
  <si>
    <t>Chisel plow 10</t>
  </si>
  <si>
    <t>Chisel plow 11</t>
  </si>
  <si>
    <t>Chisel plow 12</t>
  </si>
  <si>
    <t>Offset disk</t>
  </si>
  <si>
    <t>Offset disk 1</t>
  </si>
  <si>
    <t>Offset disk 2</t>
  </si>
  <si>
    <t>Offset disk 3</t>
  </si>
  <si>
    <t>Downs, H.W.2007. Estimating Farm fuel requirements.Colorado State.  http://www.ext2.colostate.edu/PUBS/FARMMGT/05006.html</t>
  </si>
  <si>
    <t>Offset disk 4</t>
  </si>
  <si>
    <t>Offset disk 5</t>
  </si>
  <si>
    <t>Offset disk 6</t>
  </si>
  <si>
    <t>Offset disk 7</t>
  </si>
  <si>
    <t>Offset disk 8</t>
  </si>
  <si>
    <t>Offset disk 9</t>
  </si>
  <si>
    <t>Offset disk 10</t>
  </si>
  <si>
    <t>Offset disk 11</t>
  </si>
  <si>
    <t>Offset disk 12</t>
  </si>
  <si>
    <t>Sub-soiling 1</t>
  </si>
  <si>
    <t>Sub-soiling 2</t>
  </si>
  <si>
    <t>Sub-soiling 3</t>
  </si>
  <si>
    <t>Shinners,K. Source for experimental machines: Dr Biological Systems Engineering Department, University of Wisconsin-Madison</t>
  </si>
  <si>
    <t>Sweep plow</t>
  </si>
  <si>
    <t>Rotary till</t>
  </si>
  <si>
    <t>16.7 - 38.4</t>
  </si>
  <si>
    <t>Deep zone till</t>
  </si>
  <si>
    <t>Chisel sweep</t>
  </si>
  <si>
    <t>Shallow zone till</t>
  </si>
  <si>
    <t>Fluted coulter</t>
  </si>
  <si>
    <t xml:space="preserve">Disc </t>
  </si>
  <si>
    <t>Disk plow 1</t>
  </si>
  <si>
    <t>Disk plow 2</t>
  </si>
  <si>
    <t>Disk plow 3</t>
  </si>
  <si>
    <t>Disk plow 4</t>
  </si>
  <si>
    <t>Disk plow 5</t>
  </si>
  <si>
    <t>Disk plow 7</t>
  </si>
  <si>
    <t>Field cultivate</t>
  </si>
  <si>
    <t>Field cultivate 1</t>
  </si>
  <si>
    <t>Field cultivate 2</t>
  </si>
  <si>
    <t>Field cultivate 3</t>
  </si>
  <si>
    <t>Field cultivate 4</t>
  </si>
  <si>
    <t>Field cultivate 5</t>
  </si>
  <si>
    <t>Fertilizer / chemical  application</t>
  </si>
  <si>
    <t>Pesticide application 1</t>
  </si>
  <si>
    <t>Pesticide application 2</t>
  </si>
  <si>
    <t>Pesticide application 3</t>
  </si>
  <si>
    <t>Pesticide application 4</t>
  </si>
  <si>
    <t>Pesticide application 5</t>
  </si>
  <si>
    <t>Pesticide application 6</t>
  </si>
  <si>
    <t>Pesticide application 7</t>
  </si>
  <si>
    <t>Nix,J.1996. Farm Management Pocketbook. Wye College, University of London.</t>
  </si>
  <si>
    <t>Fertilizer application</t>
  </si>
  <si>
    <t>Fertilizer application 1</t>
  </si>
  <si>
    <t>Fertilizer application 2</t>
  </si>
  <si>
    <t>Fertilizer application 3</t>
  </si>
  <si>
    <t>Fertilizer application 4</t>
  </si>
  <si>
    <t>Stout, B.A.1984.Energy use and management in agriculture. Massachusetts: Breton;</t>
  </si>
  <si>
    <t>Fertilizer application 5</t>
  </si>
  <si>
    <t>Fertilizer application 6</t>
  </si>
  <si>
    <t>Knife down ammonia</t>
  </si>
  <si>
    <t>Knife in fertilizer</t>
  </si>
  <si>
    <t>Planting into prepared seedbed</t>
  </si>
  <si>
    <t>Planter 1</t>
  </si>
  <si>
    <t>Planter 2</t>
  </si>
  <si>
    <t>Planter 3</t>
  </si>
  <si>
    <t>Planter 4</t>
  </si>
  <si>
    <t>Planter 5</t>
  </si>
  <si>
    <t>Planter 6</t>
  </si>
  <si>
    <t>Planter 7</t>
  </si>
  <si>
    <t>Planter 8</t>
  </si>
  <si>
    <t>Drilling into prepared seedbed</t>
  </si>
  <si>
    <t>Graindrill 1</t>
  </si>
  <si>
    <t>Graindrill 2</t>
  </si>
  <si>
    <t>Graindrill 3</t>
  </si>
  <si>
    <t>Graindrill 4</t>
  </si>
  <si>
    <t>Graindrill 5</t>
  </si>
  <si>
    <t>Planting into no-till seedbed</t>
  </si>
  <si>
    <t>No-till 1</t>
  </si>
  <si>
    <t>No-till 2</t>
  </si>
  <si>
    <t>No-till 3</t>
  </si>
  <si>
    <t>No-till 4</t>
  </si>
  <si>
    <t>No-till 5</t>
  </si>
  <si>
    <t>No-till 6</t>
  </si>
  <si>
    <t>Collins, N.E., L.J.Kemble and T.H. Williams. 1977. Energy requirements for tillage on coastal plains soils. In: Lockeretz,W. Agriculture and energy. pp.233-43.</t>
  </si>
  <si>
    <t>No-till 7</t>
  </si>
  <si>
    <t>No-till 8</t>
  </si>
  <si>
    <t>No-till grain drill</t>
  </si>
  <si>
    <t>Cultivation</t>
  </si>
  <si>
    <t>Cultivator 1</t>
  </si>
  <si>
    <t>Cultivator 2</t>
  </si>
  <si>
    <t>Cultivator 3</t>
  </si>
  <si>
    <t>Cultivator 4</t>
  </si>
  <si>
    <t>Cultivator 5</t>
  </si>
  <si>
    <t>Cultivator 6</t>
  </si>
  <si>
    <t>Cultivator 7</t>
  </si>
  <si>
    <t>Rolling Cultivator</t>
  </si>
  <si>
    <t>Rotary Hoeing</t>
  </si>
  <si>
    <t>Rotary roe 1</t>
  </si>
  <si>
    <t>Rotary roe 2</t>
  </si>
  <si>
    <t>Rotary roe 3</t>
  </si>
  <si>
    <t>Rotary roe 4</t>
  </si>
  <si>
    <t>Cultipacker</t>
  </si>
  <si>
    <t>Seedbed conditioner 1</t>
  </si>
  <si>
    <t>Seedbed conditioner 2</t>
  </si>
  <si>
    <t>Spring tooth harrow</t>
  </si>
  <si>
    <t>Spring tooth harrow 1</t>
  </si>
  <si>
    <t>Spring tooth harrow 2</t>
  </si>
  <si>
    <t>Spring tooth harrow 3</t>
  </si>
  <si>
    <t>Spring tooth harrow 4</t>
  </si>
  <si>
    <t>Spike tooth harrow 1</t>
  </si>
  <si>
    <t>Mulch treader</t>
  </si>
  <si>
    <t>Mulch tiller</t>
  </si>
  <si>
    <t>Rod weeder</t>
  </si>
  <si>
    <t>Forage harvesting</t>
  </si>
  <si>
    <t>Mower</t>
  </si>
  <si>
    <t>Mower 1</t>
  </si>
  <si>
    <t>Mower 2</t>
  </si>
  <si>
    <t>Mower (rotary) 3</t>
  </si>
  <si>
    <t>Mower 4</t>
  </si>
  <si>
    <t>Mower conditioner 1</t>
  </si>
  <si>
    <t>Mower conditioner 2</t>
  </si>
  <si>
    <t>Mower conditioner 3</t>
  </si>
  <si>
    <t>Self propelled windrower 1</t>
  </si>
  <si>
    <t>Rake</t>
  </si>
  <si>
    <t>Rake 1</t>
  </si>
  <si>
    <t>Rake 2</t>
  </si>
  <si>
    <t>Rake 3</t>
  </si>
  <si>
    <t>Rake (tandem) 3</t>
  </si>
  <si>
    <t>Baler</t>
  </si>
  <si>
    <t>Baler 1</t>
  </si>
  <si>
    <t>Baler 2</t>
  </si>
  <si>
    <t>Baler 3</t>
  </si>
  <si>
    <t>Baler 4</t>
  </si>
  <si>
    <t>Baler 5</t>
  </si>
  <si>
    <t>Baler 6</t>
  </si>
  <si>
    <t>Forage harv.+green chop 1</t>
  </si>
  <si>
    <t>Forage harv.+green chop 2</t>
  </si>
  <si>
    <t>Forage harv.+green chop 3</t>
  </si>
  <si>
    <t>Forage harv.+green chop 4</t>
  </si>
  <si>
    <t>3.7 - 9.4</t>
  </si>
  <si>
    <t>Corn silage 1</t>
  </si>
  <si>
    <t>Corn silage 2</t>
  </si>
  <si>
    <t>Corn silage 3</t>
  </si>
  <si>
    <t>Haylage 1</t>
  </si>
  <si>
    <t>Haylage 2</t>
  </si>
  <si>
    <t>Swather</t>
  </si>
  <si>
    <t>Swath</t>
  </si>
  <si>
    <t>Mower (shred stalks)</t>
  </si>
  <si>
    <t>Stack wagon</t>
  </si>
  <si>
    <t>Grain &amp; row crop harvesting</t>
  </si>
  <si>
    <t>Small grain+bean combine</t>
  </si>
  <si>
    <t>Small grain + bean combine 1</t>
  </si>
  <si>
    <t>Small grain + bean combine 2</t>
  </si>
  <si>
    <t>Small grain + bean combine 3</t>
  </si>
  <si>
    <t>beans combine 3</t>
  </si>
  <si>
    <t>beans combine 4</t>
  </si>
  <si>
    <t>Corn combine</t>
  </si>
  <si>
    <t>Corn combine 1</t>
  </si>
  <si>
    <t>Corn combine 2</t>
  </si>
  <si>
    <t>Corn combine 3</t>
  </si>
  <si>
    <t>Corn combine 4</t>
  </si>
  <si>
    <t>Corn combine 5</t>
  </si>
  <si>
    <t>Corn picker 1</t>
  </si>
  <si>
    <t>Corn picker 2</t>
  </si>
  <si>
    <t>Pull+ windrow beans</t>
  </si>
  <si>
    <t>Other</t>
  </si>
  <si>
    <t>forage blower 1</t>
  </si>
  <si>
    <t>L/h</t>
  </si>
  <si>
    <t>forage blower 2</t>
  </si>
  <si>
    <t>Grinding</t>
  </si>
  <si>
    <t>hauling</t>
  </si>
  <si>
    <t>see coments</t>
  </si>
  <si>
    <t>hauling small grains</t>
  </si>
  <si>
    <t>National yields 10-yr average 2002-2011</t>
  </si>
  <si>
    <t>Please direct comments and questions to feat@psu.edu</t>
  </si>
  <si>
    <t>GHG intensity</t>
  </si>
  <si>
    <t>kg CO2e/MJoutput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</si>
</sst>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
    <numFmt numFmtId="165" formatCode="0.0000"/>
    <numFmt numFmtId="166" formatCode="#,##0.0"/>
    <numFmt numFmtId="167" formatCode="0.0%"/>
    <numFmt numFmtId="168" formatCode="0.000"/>
    <numFmt numFmtId="169" formatCode="[$-409]d\-mmm\-yyyy;@"/>
    <numFmt numFmtId="170" formatCode="#,##0.000"/>
  </numFmts>
  <fonts count="33" x14ac:knownFonts="1">
    <font>
      <sz val="11"/>
      <color theme="1"/>
      <name val="Calibri"/>
      <family val="2"/>
      <scheme val="minor"/>
    </font>
    <font>
      <b/>
      <sz val="11"/>
      <color theme="1"/>
      <name val="Calibri"/>
      <family val="2"/>
      <scheme val="minor"/>
    </font>
    <font>
      <sz val="8"/>
      <color theme="1"/>
      <name val="Times New Roman"/>
      <family val="1"/>
    </font>
    <font>
      <sz val="8"/>
      <color theme="1"/>
      <name val="Calibri"/>
      <family val="2"/>
      <scheme val="minor"/>
    </font>
    <font>
      <i/>
      <sz val="11"/>
      <color theme="1"/>
      <name val="Calibri"/>
      <family val="2"/>
      <scheme val="minor"/>
    </font>
    <font>
      <sz val="9"/>
      <color indexed="81"/>
      <name val="Tahoma"/>
      <family val="2"/>
    </font>
    <font>
      <b/>
      <sz val="9"/>
      <color indexed="81"/>
      <name val="Tahoma"/>
      <family val="2"/>
    </font>
    <font>
      <sz val="10"/>
      <name val="Arial"/>
      <family val="2"/>
    </font>
    <font>
      <sz val="11"/>
      <name val="Calibri"/>
      <family val="2"/>
      <scheme val="minor"/>
    </font>
    <font>
      <sz val="11"/>
      <color theme="1"/>
      <name val="Calibri"/>
      <family val="2"/>
      <scheme val="minor"/>
    </font>
    <font>
      <vertAlign val="subscript"/>
      <sz val="11"/>
      <color theme="1"/>
      <name val="Calibri"/>
      <family val="2"/>
      <scheme val="minor"/>
    </font>
    <font>
      <b/>
      <sz val="18"/>
      <color theme="1"/>
      <name val="Calibri"/>
      <family val="2"/>
      <scheme val="minor"/>
    </font>
    <font>
      <b/>
      <sz val="13"/>
      <color theme="1"/>
      <name val="Calibri"/>
      <family val="2"/>
      <scheme val="minor"/>
    </font>
    <font>
      <sz val="13"/>
      <color theme="0"/>
      <name val="Calibri"/>
      <family val="2"/>
      <scheme val="minor"/>
    </font>
    <font>
      <b/>
      <sz val="15"/>
      <color theme="1"/>
      <name val="Calibri"/>
      <family val="2"/>
      <scheme val="minor"/>
    </font>
    <font>
      <sz val="18"/>
      <color theme="1"/>
      <name val="Calibri"/>
      <family val="2"/>
      <scheme val="minor"/>
    </font>
    <font>
      <b/>
      <sz val="14"/>
      <color theme="1"/>
      <name val="Calibri"/>
      <family val="2"/>
      <scheme val="minor"/>
    </font>
    <font>
      <u/>
      <sz val="11"/>
      <color theme="1"/>
      <name val="Calibri"/>
      <family val="2"/>
      <scheme val="minor"/>
    </font>
    <font>
      <i/>
      <sz val="8"/>
      <color theme="1"/>
      <name val="Calibri"/>
      <family val="2"/>
      <scheme val="minor"/>
    </font>
    <font>
      <sz val="11"/>
      <color indexed="8"/>
      <name val="Calibri"/>
      <family val="2"/>
      <scheme val="minor"/>
    </font>
    <font>
      <sz val="12"/>
      <color theme="1"/>
      <name val="Calibri"/>
      <family val="2"/>
      <scheme val="minor"/>
    </font>
    <font>
      <b/>
      <sz val="10"/>
      <color rgb="FF000000"/>
      <name val="Arial"/>
      <family val="2"/>
    </font>
    <font>
      <b/>
      <sz val="13.75"/>
      <color rgb="FF333333"/>
      <name val="Arial"/>
      <family val="2"/>
    </font>
    <font>
      <sz val="10"/>
      <color rgb="FF333333"/>
      <name val="Arial"/>
      <family val="2"/>
    </font>
    <font>
      <b/>
      <sz val="10"/>
      <color rgb="FF333333"/>
      <name val="Arial"/>
      <family val="2"/>
    </font>
    <font>
      <b/>
      <sz val="10"/>
      <color rgb="FF222222"/>
      <name val="Arial"/>
      <family val="2"/>
    </font>
    <font>
      <i/>
      <sz val="12"/>
      <color theme="1"/>
      <name val="Times New Roman"/>
      <family val="1"/>
    </font>
    <font>
      <sz val="12"/>
      <color theme="1"/>
      <name val="Times New Roman"/>
      <family val="1"/>
    </font>
    <font>
      <b/>
      <i/>
      <sz val="11"/>
      <color theme="1"/>
      <name val="Calibri"/>
      <family val="2"/>
      <scheme val="minor"/>
    </font>
    <font>
      <sz val="12"/>
      <color indexed="8"/>
      <name val="Calibri"/>
      <family val="2"/>
    </font>
    <font>
      <b/>
      <sz val="11"/>
      <color indexed="8"/>
      <name val="Calibri"/>
      <family val="2"/>
      <scheme val="minor"/>
    </font>
    <font>
      <b/>
      <sz val="8"/>
      <color indexed="81"/>
      <name val="Tahoma"/>
      <family val="2"/>
    </font>
    <font>
      <sz val="8"/>
      <color indexed="81"/>
      <name val="Tahoma"/>
      <family val="2"/>
    </font>
  </fonts>
  <fills count="11">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indexed="13"/>
        <bgColor indexed="64"/>
      </patternFill>
    </fill>
  </fills>
  <borders count="21">
    <border>
      <left/>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9" fontId="9" fillId="0" borderId="0" applyFont="0" applyFill="0" applyBorder="0" applyAlignment="0" applyProtection="0"/>
  </cellStyleXfs>
  <cellXfs count="433">
    <xf numFmtId="0" fontId="0" fillId="0" borderId="0" xfId="0"/>
    <xf numFmtId="0" fontId="1" fillId="0" borderId="0" xfId="0" applyFont="1"/>
    <xf numFmtId="2" fontId="0" fillId="0" borderId="0" xfId="0" applyNumberFormat="1"/>
    <xf numFmtId="0" fontId="2" fillId="0" borderId="0" xfId="0" applyFont="1"/>
    <xf numFmtId="1" fontId="0" fillId="0" borderId="0" xfId="0" applyNumberFormat="1"/>
    <xf numFmtId="0" fontId="3" fillId="0" borderId="0" xfId="0" applyFont="1"/>
    <xf numFmtId="3" fontId="0" fillId="0" borderId="0" xfId="0" applyNumberFormat="1"/>
    <xf numFmtId="0" fontId="0" fillId="2" borderId="0" xfId="0" applyFill="1"/>
    <xf numFmtId="0" fontId="0" fillId="0" borderId="0" xfId="0" applyFill="1"/>
    <xf numFmtId="3" fontId="0" fillId="0" borderId="0" xfId="0" applyNumberFormat="1" applyBorder="1"/>
    <xf numFmtId="0" fontId="0" fillId="0" borderId="0" xfId="0" applyBorder="1"/>
    <xf numFmtId="2" fontId="0" fillId="0" borderId="0" xfId="0" applyNumberFormat="1" applyBorder="1"/>
    <xf numFmtId="1" fontId="0" fillId="0" borderId="0" xfId="0" applyNumberFormat="1" applyBorder="1"/>
    <xf numFmtId="0" fontId="0" fillId="0" borderId="0" xfId="0" applyFill="1" applyBorder="1"/>
    <xf numFmtId="0" fontId="0" fillId="0" borderId="0" xfId="0" applyAlignment="1">
      <alignment horizontal="center"/>
    </xf>
    <xf numFmtId="0" fontId="1" fillId="0" borderId="0" xfId="0" applyFont="1" applyAlignment="1">
      <alignment horizontal="center"/>
    </xf>
    <xf numFmtId="0" fontId="0" fillId="0" borderId="0" xfId="0" applyBorder="1" applyAlignment="1">
      <alignment horizontal="center"/>
    </xf>
    <xf numFmtId="0" fontId="0" fillId="0" borderId="4" xfId="0" applyBorder="1"/>
    <xf numFmtId="0" fontId="0" fillId="0" borderId="6" xfId="0" applyBorder="1" applyAlignment="1">
      <alignment horizontal="center"/>
    </xf>
    <xf numFmtId="0" fontId="0" fillId="0" borderId="1" xfId="0" applyBorder="1"/>
    <xf numFmtId="0" fontId="0" fillId="0" borderId="2" xfId="0" applyBorder="1" applyAlignment="1">
      <alignment horizontal="center"/>
    </xf>
    <xf numFmtId="0" fontId="0" fillId="0" borderId="7" xfId="0" applyFill="1" applyBorder="1"/>
    <xf numFmtId="2" fontId="0" fillId="0" borderId="8" xfId="0" applyNumberFormat="1" applyBorder="1"/>
    <xf numFmtId="0" fontId="0" fillId="0" borderId="9" xfId="0" applyBorder="1" applyAlignment="1">
      <alignment horizontal="center"/>
    </xf>
    <xf numFmtId="164" fontId="0" fillId="0" borderId="0" xfId="0" applyNumberFormat="1" applyBorder="1"/>
    <xf numFmtId="3" fontId="0" fillId="0" borderId="0" xfId="0" applyNumberFormat="1" applyFill="1" applyBorder="1"/>
    <xf numFmtId="0" fontId="0" fillId="0" borderId="2" xfId="0" applyBorder="1"/>
    <xf numFmtId="0" fontId="0" fillId="0" borderId="7" xfId="0" applyBorder="1"/>
    <xf numFmtId="0" fontId="0" fillId="0" borderId="9" xfId="0" applyBorder="1"/>
    <xf numFmtId="0" fontId="0" fillId="0" borderId="5" xfId="0" applyBorder="1"/>
    <xf numFmtId="0" fontId="0" fillId="0" borderId="6" xfId="0" applyBorder="1"/>
    <xf numFmtId="0" fontId="0" fillId="0" borderId="8" xfId="0" applyBorder="1"/>
    <xf numFmtId="0" fontId="1" fillId="0" borderId="4" xfId="0" applyFont="1" applyBorder="1"/>
    <xf numFmtId="0" fontId="1" fillId="0" borderId="5" xfId="0" applyFont="1" applyBorder="1"/>
    <xf numFmtId="0" fontId="1" fillId="0" borderId="6" xfId="0" applyFont="1" applyBorder="1"/>
    <xf numFmtId="164" fontId="0" fillId="0" borderId="8" xfId="0" applyNumberFormat="1" applyBorder="1"/>
    <xf numFmtId="2" fontId="0" fillId="0" borderId="0" xfId="0" applyNumberFormat="1" applyFont="1" applyBorder="1"/>
    <xf numFmtId="2" fontId="0" fillId="0" borderId="2" xfId="0" applyNumberFormat="1" applyBorder="1"/>
    <xf numFmtId="0" fontId="1" fillId="0" borderId="6" xfId="0" applyFont="1" applyBorder="1" applyAlignment="1">
      <alignment horizontal="center"/>
    </xf>
    <xf numFmtId="0" fontId="1" fillId="0" borderId="4" xfId="0" applyFont="1" applyFill="1" applyBorder="1"/>
    <xf numFmtId="0" fontId="0" fillId="0" borderId="1" xfId="0" applyFill="1" applyBorder="1"/>
    <xf numFmtId="2" fontId="0" fillId="0" borderId="0" xfId="0" applyNumberFormat="1" applyBorder="1" applyAlignment="1">
      <alignment horizontal="center"/>
    </xf>
    <xf numFmtId="2" fontId="0" fillId="0" borderId="8" xfId="0" applyNumberFormat="1" applyBorder="1" applyAlignment="1">
      <alignment horizontal="center"/>
    </xf>
    <xf numFmtId="2" fontId="0" fillId="0" borderId="0" xfId="0" applyNumberFormat="1" applyAlignment="1">
      <alignment horizontal="center"/>
    </xf>
    <xf numFmtId="0" fontId="0" fillId="0" borderId="0" xfId="0" applyFill="1" applyBorder="1" applyAlignment="1">
      <alignment horizontal="center"/>
    </xf>
    <xf numFmtId="0" fontId="0" fillId="0" borderId="8" xfId="0" applyFill="1" applyBorder="1" applyAlignment="1">
      <alignment horizontal="center"/>
    </xf>
    <xf numFmtId="0" fontId="0" fillId="0" borderId="0" xfId="0" applyAlignment="1">
      <alignment horizontal="left"/>
    </xf>
    <xf numFmtId="0" fontId="0" fillId="0" borderId="2" xfId="0" applyFill="1" applyBorder="1" applyAlignment="1">
      <alignment horizontal="center"/>
    </xf>
    <xf numFmtId="0" fontId="0" fillId="0" borderId="1" xfId="0" applyFont="1" applyBorder="1"/>
    <xf numFmtId="0" fontId="0" fillId="0" borderId="0" xfId="0" applyFont="1" applyBorder="1"/>
    <xf numFmtId="0" fontId="0" fillId="0" borderId="0" xfId="0" applyFont="1"/>
    <xf numFmtId="4" fontId="0" fillId="0" borderId="8" xfId="0" applyNumberFormat="1" applyBorder="1"/>
    <xf numFmtId="0" fontId="0" fillId="4" borderId="0" xfId="0" applyFill="1"/>
    <xf numFmtId="0" fontId="1" fillId="0" borderId="0" xfId="0" applyFont="1" applyFill="1"/>
    <xf numFmtId="0" fontId="0" fillId="0" borderId="9" xfId="0" applyFill="1" applyBorder="1"/>
    <xf numFmtId="2" fontId="1" fillId="0" borderId="4" xfId="0" applyNumberFormat="1" applyFont="1" applyBorder="1"/>
    <xf numFmtId="0" fontId="1" fillId="0" borderId="5" xfId="0" applyFont="1" applyBorder="1" applyAlignment="1">
      <alignment horizontal="center"/>
    </xf>
    <xf numFmtId="0" fontId="0" fillId="5" borderId="0" xfId="0" applyFill="1"/>
    <xf numFmtId="0" fontId="0" fillId="0" borderId="8" xfId="0" applyFill="1" applyBorder="1"/>
    <xf numFmtId="0" fontId="0" fillId="0" borderId="2" xfId="0" applyFill="1" applyBorder="1"/>
    <xf numFmtId="0" fontId="0" fillId="2" borderId="5" xfId="0" applyFill="1" applyBorder="1"/>
    <xf numFmtId="1" fontId="0" fillId="2" borderId="0" xfId="0" applyNumberFormat="1" applyFill="1" applyBorder="1"/>
    <xf numFmtId="0" fontId="0" fillId="2" borderId="0" xfId="0" applyFill="1" applyBorder="1"/>
    <xf numFmtId="0" fontId="0" fillId="2" borderId="8" xfId="0" applyFill="1" applyBorder="1"/>
    <xf numFmtId="164" fontId="0" fillId="2" borderId="0" xfId="0" applyNumberFormat="1" applyFill="1" applyBorder="1"/>
    <xf numFmtId="0" fontId="0" fillId="2" borderId="8" xfId="0" applyFill="1" applyBorder="1" applyAlignment="1">
      <alignment horizontal="center"/>
    </xf>
    <xf numFmtId="0" fontId="0" fillId="2" borderId="0" xfId="0" applyFill="1" applyBorder="1" applyAlignment="1">
      <alignment horizontal="center"/>
    </xf>
    <xf numFmtId="2" fontId="0" fillId="2" borderId="0" xfId="0" applyNumberFormat="1" applyFill="1" applyBorder="1"/>
    <xf numFmtId="0" fontId="0" fillId="2" borderId="0" xfId="0" applyFont="1" applyFill="1" applyBorder="1"/>
    <xf numFmtId="0" fontId="0" fillId="0" borderId="0" xfId="0" applyFont="1" applyFill="1" applyBorder="1"/>
    <xf numFmtId="1" fontId="0" fillId="0" borderId="8" xfId="0" applyNumberFormat="1" applyFill="1" applyBorder="1"/>
    <xf numFmtId="0" fontId="0" fillId="0" borderId="0" xfId="0"/>
    <xf numFmtId="1" fontId="0" fillId="0" borderId="0" xfId="0" applyNumberFormat="1" applyFill="1" applyBorder="1"/>
    <xf numFmtId="2" fontId="0" fillId="0" borderId="0" xfId="0" applyNumberFormat="1" applyFill="1" applyBorder="1"/>
    <xf numFmtId="164" fontId="0" fillId="0" borderId="0" xfId="0" applyNumberFormat="1" applyFill="1" applyBorder="1"/>
    <xf numFmtId="0" fontId="0" fillId="2" borderId="0" xfId="0" applyFill="1" applyAlignment="1">
      <alignment horizontal="center"/>
    </xf>
    <xf numFmtId="9" fontId="0" fillId="2" borderId="2" xfId="0" applyNumberFormat="1" applyFill="1" applyBorder="1"/>
    <xf numFmtId="2" fontId="0" fillId="0" borderId="0" xfId="0" applyNumberFormat="1" applyFill="1"/>
    <xf numFmtId="0" fontId="0" fillId="0" borderId="0" xfId="0" applyFont="1" applyAlignment="1">
      <alignment horizontal="center"/>
    </xf>
    <xf numFmtId="1" fontId="0" fillId="0" borderId="0" xfId="0" applyNumberFormat="1" applyBorder="1" applyAlignment="1">
      <alignment horizontal="center"/>
    </xf>
    <xf numFmtId="0" fontId="0" fillId="6" borderId="0" xfId="0" applyFill="1"/>
    <xf numFmtId="0" fontId="8" fillId="0" borderId="0" xfId="0" applyFont="1" applyFill="1"/>
    <xf numFmtId="0" fontId="0" fillId="0" borderId="4" xfId="0" applyFill="1" applyBorder="1"/>
    <xf numFmtId="0" fontId="0" fillId="7" borderId="2" xfId="0" applyFill="1" applyBorder="1"/>
    <xf numFmtId="164" fontId="0" fillId="0" borderId="8" xfId="0" applyNumberFormat="1" applyFill="1" applyBorder="1"/>
    <xf numFmtId="0" fontId="0" fillId="0" borderId="5" xfId="0" applyFill="1" applyBorder="1"/>
    <xf numFmtId="0" fontId="0" fillId="0" borderId="1" xfId="0" applyFont="1" applyFill="1" applyBorder="1"/>
    <xf numFmtId="0" fontId="0" fillId="0" borderId="4" xfId="0" applyFont="1" applyBorder="1"/>
    <xf numFmtId="2" fontId="0" fillId="0" borderId="2" xfId="0" applyNumberFormat="1" applyBorder="1" applyAlignment="1">
      <alignment horizontal="center"/>
    </xf>
    <xf numFmtId="0" fontId="0" fillId="0" borderId="7" xfId="0" applyFont="1" applyBorder="1"/>
    <xf numFmtId="1" fontId="0" fillId="0" borderId="0" xfId="0" applyNumberFormat="1" applyFill="1"/>
    <xf numFmtId="0" fontId="0" fillId="5" borderId="0" xfId="0" applyFill="1" applyBorder="1"/>
    <xf numFmtId="3" fontId="0" fillId="0" borderId="0" xfId="0" applyNumberFormat="1" applyBorder="1" applyAlignment="1">
      <alignment horizontal="center"/>
    </xf>
    <xf numFmtId="3" fontId="0" fillId="0" borderId="8" xfId="0" applyNumberFormat="1" applyBorder="1" applyAlignment="1">
      <alignment horizontal="center"/>
    </xf>
    <xf numFmtId="0" fontId="0" fillId="0" borderId="0" xfId="0" applyFill="1" applyAlignment="1">
      <alignment horizontal="center"/>
    </xf>
    <xf numFmtId="3" fontId="0" fillId="0" borderId="2" xfId="0" applyNumberFormat="1" applyBorder="1"/>
    <xf numFmtId="0" fontId="0" fillId="7" borderId="0" xfId="0" applyFill="1" applyBorder="1"/>
    <xf numFmtId="0" fontId="1" fillId="0" borderId="0" xfId="0" applyFont="1" applyBorder="1"/>
    <xf numFmtId="0" fontId="0" fillId="0" borderId="6" xfId="0" applyFill="1" applyBorder="1"/>
    <xf numFmtId="1" fontId="0" fillId="0" borderId="2" xfId="0" applyNumberFormat="1" applyBorder="1"/>
    <xf numFmtId="2" fontId="0" fillId="2" borderId="0" xfId="0" applyNumberFormat="1" applyFill="1"/>
    <xf numFmtId="0" fontId="1" fillId="0" borderId="1" xfId="0" applyFont="1" applyBorder="1"/>
    <xf numFmtId="0" fontId="0" fillId="5" borderId="0" xfId="0" applyFill="1" applyAlignment="1">
      <alignment horizontal="center"/>
    </xf>
    <xf numFmtId="0" fontId="1" fillId="0" borderId="0" xfId="0" applyFont="1" applyFill="1" applyBorder="1"/>
    <xf numFmtId="3" fontId="0" fillId="0" borderId="11" xfId="0" applyNumberFormat="1" applyFill="1" applyBorder="1"/>
    <xf numFmtId="1" fontId="0" fillId="0" borderId="0" xfId="0" applyNumberFormat="1" applyFill="1" applyBorder="1" applyAlignment="1">
      <alignment horizontal="right"/>
    </xf>
    <xf numFmtId="0" fontId="0" fillId="8" borderId="0" xfId="0" applyFill="1"/>
    <xf numFmtId="167" fontId="0" fillId="2" borderId="2" xfId="0" applyNumberFormat="1" applyFill="1" applyBorder="1"/>
    <xf numFmtId="0" fontId="4" fillId="0" borderId="1" xfId="0" applyFont="1" applyFill="1" applyBorder="1"/>
    <xf numFmtId="0" fontId="4" fillId="0" borderId="7" xfId="0" applyFont="1" applyFill="1" applyBorder="1"/>
    <xf numFmtId="164" fontId="0" fillId="2" borderId="8" xfId="0" applyNumberFormat="1" applyFill="1" applyBorder="1"/>
    <xf numFmtId="2" fontId="0" fillId="2" borderId="0" xfId="0" applyNumberFormat="1" applyFont="1" applyFill="1" applyBorder="1"/>
    <xf numFmtId="0" fontId="0" fillId="9" borderId="0" xfId="0" applyFill="1"/>
    <xf numFmtId="0" fontId="0" fillId="5" borderId="8" xfId="0" applyFill="1" applyBorder="1"/>
    <xf numFmtId="0" fontId="0" fillId="5" borderId="1" xfId="0" applyFill="1" applyBorder="1"/>
    <xf numFmtId="0" fontId="0" fillId="5" borderId="2" xfId="0" applyFill="1" applyBorder="1" applyAlignment="1">
      <alignment horizontal="center"/>
    </xf>
    <xf numFmtId="0" fontId="0" fillId="0" borderId="1" xfId="0" applyBorder="1" applyAlignment="1">
      <alignment horizontal="left"/>
    </xf>
    <xf numFmtId="0" fontId="0" fillId="0" borderId="1" xfId="0" applyFill="1" applyBorder="1" applyAlignment="1">
      <alignment horizontal="left"/>
    </xf>
    <xf numFmtId="164" fontId="0" fillId="0" borderId="0" xfId="0" applyNumberFormat="1" applyFont="1" applyBorder="1"/>
    <xf numFmtId="164" fontId="0" fillId="0" borderId="5" xfId="0" applyNumberFormat="1" applyFont="1" applyBorder="1"/>
    <xf numFmtId="164" fontId="0" fillId="0" borderId="8" xfId="0" applyNumberFormat="1" applyFont="1" applyBorder="1"/>
    <xf numFmtId="0" fontId="0" fillId="0" borderId="5" xfId="0" applyFont="1" applyBorder="1"/>
    <xf numFmtId="2" fontId="0" fillId="0" borderId="0" xfId="0" applyNumberFormat="1" applyFont="1" applyFill="1" applyBorder="1"/>
    <xf numFmtId="164" fontId="0" fillId="0" borderId="0" xfId="0" applyNumberFormat="1" applyFont="1" applyFill="1" applyBorder="1"/>
    <xf numFmtId="2" fontId="0" fillId="0" borderId="9" xfId="0" applyNumberFormat="1" applyBorder="1"/>
    <xf numFmtId="0" fontId="0" fillId="0" borderId="10" xfId="0" applyFill="1" applyBorder="1" applyAlignment="1">
      <alignment horizontal="left"/>
    </xf>
    <xf numFmtId="2" fontId="0" fillId="0" borderId="8" xfId="0" applyNumberFormat="1" applyFont="1" applyFill="1" applyBorder="1"/>
    <xf numFmtId="0" fontId="0" fillId="0" borderId="5" xfId="0" applyBorder="1" applyAlignment="1">
      <alignment horizontal="center"/>
    </xf>
    <xf numFmtId="0" fontId="0" fillId="0" borderId="5" xfId="0" applyFill="1" applyBorder="1" applyAlignment="1">
      <alignment horizontal="center"/>
    </xf>
    <xf numFmtId="0" fontId="1" fillId="0" borderId="0" xfId="0" applyFont="1" applyBorder="1" applyAlignment="1">
      <alignment horizontal="center"/>
    </xf>
    <xf numFmtId="2" fontId="0" fillId="0" borderId="2" xfId="0" applyNumberFormat="1" applyBorder="1" applyAlignment="1">
      <alignment horizontal="right"/>
    </xf>
    <xf numFmtId="164" fontId="0" fillId="0" borderId="2" xfId="0" applyNumberFormat="1" applyBorder="1"/>
    <xf numFmtId="164" fontId="0" fillId="0" borderId="9" xfId="0" applyNumberFormat="1" applyBorder="1"/>
    <xf numFmtId="0" fontId="0" fillId="2" borderId="5" xfId="0" applyFont="1" applyFill="1" applyBorder="1"/>
    <xf numFmtId="0" fontId="0" fillId="0" borderId="6" xfId="0" applyFont="1" applyBorder="1"/>
    <xf numFmtId="164" fontId="1" fillId="0" borderId="4" xfId="0" applyNumberFormat="1" applyFont="1" applyBorder="1"/>
    <xf numFmtId="164" fontId="1" fillId="0" borderId="4" xfId="0" applyNumberFormat="1" applyFont="1" applyBorder="1" applyAlignment="1">
      <alignment horizontal="left"/>
    </xf>
    <xf numFmtId="2" fontId="1" fillId="0" borderId="4" xfId="0" applyNumberFormat="1" applyFont="1" applyFill="1" applyBorder="1"/>
    <xf numFmtId="2" fontId="0" fillId="0" borderId="8" xfId="0" applyNumberFormat="1" applyFont="1" applyBorder="1"/>
    <xf numFmtId="0" fontId="0" fillId="0" borderId="0" xfId="0" applyFont="1" applyBorder="1" applyAlignment="1">
      <alignment horizontal="center"/>
    </xf>
    <xf numFmtId="0" fontId="2" fillId="0" borderId="0" xfId="0" applyFont="1" applyBorder="1"/>
    <xf numFmtId="1" fontId="0" fillId="0" borderId="0" xfId="0" applyNumberFormat="1" applyFill="1" applyBorder="1" applyAlignment="1">
      <alignment horizontal="center"/>
    </xf>
    <xf numFmtId="2" fontId="0" fillId="2" borderId="5" xfId="0" applyNumberFormat="1" applyFill="1" applyBorder="1"/>
    <xf numFmtId="0" fontId="0" fillId="8" borderId="0" xfId="0" applyFill="1" applyAlignment="1">
      <alignment horizontal="center"/>
    </xf>
    <xf numFmtId="164" fontId="0" fillId="2" borderId="0" xfId="0" applyNumberFormat="1" applyFill="1" applyAlignment="1">
      <alignment horizontal="center"/>
    </xf>
    <xf numFmtId="0" fontId="0" fillId="0" borderId="2" xfId="0" applyFont="1" applyBorder="1" applyAlignment="1">
      <alignment horizontal="center"/>
    </xf>
    <xf numFmtId="167" fontId="1" fillId="0" borderId="5" xfId="0" applyNumberFormat="1" applyFont="1" applyFill="1" applyBorder="1"/>
    <xf numFmtId="165" fontId="0" fillId="2" borderId="0" xfId="4" applyNumberFormat="1" applyFont="1" applyFill="1" applyBorder="1"/>
    <xf numFmtId="165" fontId="0" fillId="2" borderId="8" xfId="4" applyNumberFormat="1" applyFont="1" applyFill="1" applyBorder="1"/>
    <xf numFmtId="167" fontId="0" fillId="0" borderId="0" xfId="4" applyNumberFormat="1" applyFont="1" applyFill="1" applyBorder="1"/>
    <xf numFmtId="9" fontId="0" fillId="3" borderId="0" xfId="0" applyNumberFormat="1" applyFill="1" applyAlignment="1">
      <alignment horizontal="center"/>
    </xf>
    <xf numFmtId="9" fontId="0" fillId="3" borderId="0" xfId="4" applyFont="1" applyFill="1" applyAlignment="1">
      <alignment horizontal="center"/>
    </xf>
    <xf numFmtId="166" fontId="0" fillId="0" borderId="0" xfId="0" applyNumberFormat="1" applyFill="1" applyBorder="1"/>
    <xf numFmtId="164" fontId="0" fillId="0" borderId="5" xfId="0" applyNumberFormat="1" applyFill="1" applyBorder="1"/>
    <xf numFmtId="166" fontId="0" fillId="0" borderId="8" xfId="0" applyNumberFormat="1" applyFill="1" applyBorder="1"/>
    <xf numFmtId="0" fontId="0" fillId="0" borderId="0" xfId="0" applyFill="1" applyBorder="1" applyAlignment="1">
      <alignment horizontal="left"/>
    </xf>
    <xf numFmtId="0" fontId="0" fillId="0" borderId="0" xfId="0" applyBorder="1" applyAlignment="1">
      <alignment horizontal="right"/>
    </xf>
    <xf numFmtId="0" fontId="1" fillId="7" borderId="1" xfId="0" applyFont="1" applyFill="1" applyBorder="1"/>
    <xf numFmtId="0" fontId="1" fillId="7" borderId="4" xfId="0" applyFont="1" applyFill="1" applyBorder="1"/>
    <xf numFmtId="0" fontId="11" fillId="0" borderId="0" xfId="0" applyFont="1"/>
    <xf numFmtId="0" fontId="12" fillId="0" borderId="0" xfId="0" applyFont="1" applyFill="1"/>
    <xf numFmtId="0" fontId="13" fillId="4" borderId="0" xfId="0" applyFont="1" applyFill="1"/>
    <xf numFmtId="9" fontId="0" fillId="3" borderId="0" xfId="4" applyFont="1" applyFill="1" applyBorder="1"/>
    <xf numFmtId="9" fontId="0" fillId="3" borderId="0" xfId="0" applyNumberFormat="1" applyFill="1" applyBorder="1"/>
    <xf numFmtId="2" fontId="0" fillId="2" borderId="6" xfId="0" applyNumberFormat="1" applyFill="1" applyBorder="1"/>
    <xf numFmtId="164" fontId="0" fillId="2" borderId="6" xfId="0" applyNumberFormat="1" applyFill="1" applyBorder="1"/>
    <xf numFmtId="164" fontId="0" fillId="2" borderId="6" xfId="0" applyNumberFormat="1" applyFont="1" applyFill="1" applyBorder="1"/>
    <xf numFmtId="0" fontId="0" fillId="2" borderId="6" xfId="0" applyFill="1" applyBorder="1"/>
    <xf numFmtId="2" fontId="0" fillId="2" borderId="6" xfId="0" applyNumberFormat="1" applyFont="1" applyFill="1" applyBorder="1"/>
    <xf numFmtId="1" fontId="0" fillId="2" borderId="6" xfId="0" applyNumberFormat="1" applyFill="1" applyBorder="1"/>
    <xf numFmtId="10" fontId="0" fillId="2" borderId="6" xfId="0" applyNumberFormat="1" applyFill="1" applyBorder="1"/>
    <xf numFmtId="167" fontId="0" fillId="2" borderId="9" xfId="0" applyNumberFormat="1" applyFill="1" applyBorder="1"/>
    <xf numFmtId="9" fontId="1" fillId="0" borderId="0" xfId="0" applyNumberFormat="1" applyFont="1" applyFill="1" applyBorder="1"/>
    <xf numFmtId="9" fontId="0" fillId="2" borderId="6" xfId="0" applyNumberFormat="1" applyFill="1" applyBorder="1"/>
    <xf numFmtId="0" fontId="11" fillId="0" borderId="0" xfId="0" applyFont="1" applyBorder="1"/>
    <xf numFmtId="164" fontId="0" fillId="2" borderId="6" xfId="0" applyNumberFormat="1" applyFill="1" applyBorder="1" applyAlignment="1">
      <alignment horizontal="center"/>
    </xf>
    <xf numFmtId="2" fontId="0" fillId="2" borderId="6" xfId="0" applyNumberFormat="1" applyFill="1" applyBorder="1" applyAlignment="1">
      <alignment horizontal="right"/>
    </xf>
    <xf numFmtId="164" fontId="0" fillId="2" borderId="6" xfId="0" applyNumberFormat="1" applyFill="1" applyBorder="1" applyAlignment="1">
      <alignment horizontal="right"/>
    </xf>
    <xf numFmtId="0" fontId="0" fillId="0" borderId="2" xfId="0" applyFont="1" applyBorder="1"/>
    <xf numFmtId="164" fontId="0" fillId="0" borderId="0" xfId="0" applyNumberFormat="1" applyFont="1" applyBorder="1" applyAlignment="1">
      <alignment horizontal="right"/>
    </xf>
    <xf numFmtId="164" fontId="0" fillId="0" borderId="8" xfId="0" applyNumberFormat="1" applyFont="1" applyBorder="1" applyAlignment="1">
      <alignment horizontal="right"/>
    </xf>
    <xf numFmtId="0" fontId="11" fillId="0" borderId="0" xfId="0" applyFont="1" applyFill="1" applyBorder="1"/>
    <xf numFmtId="0" fontId="15" fillId="0" borderId="0" xfId="0" applyFont="1"/>
    <xf numFmtId="2" fontId="0" fillId="0" borderId="8" xfId="4" applyNumberFormat="1" applyFont="1" applyFill="1" applyBorder="1"/>
    <xf numFmtId="0" fontId="0" fillId="0" borderId="4" xfId="0" applyFont="1" applyFill="1" applyBorder="1"/>
    <xf numFmtId="0" fontId="0" fillId="0" borderId="7" xfId="0" applyFont="1" applyFill="1" applyBorder="1"/>
    <xf numFmtId="0" fontId="0" fillId="0" borderId="0" xfId="0" applyFont="1" applyBorder="1" applyAlignment="1">
      <alignment horizontal="right"/>
    </xf>
    <xf numFmtId="2" fontId="0" fillId="0" borderId="5" xfId="0" applyNumberFormat="1" applyFont="1" applyFill="1" applyBorder="1"/>
    <xf numFmtId="0" fontId="14" fillId="0" borderId="0" xfId="0" applyFont="1"/>
    <xf numFmtId="164" fontId="0" fillId="0" borderId="5" xfId="0" applyNumberFormat="1" applyBorder="1"/>
    <xf numFmtId="164" fontId="0" fillId="0" borderId="5" xfId="0" applyNumberFormat="1" applyBorder="1" applyAlignment="1">
      <alignment horizontal="center"/>
    </xf>
    <xf numFmtId="164" fontId="0" fillId="0" borderId="0" xfId="0" applyNumberFormat="1" applyBorder="1" applyAlignment="1">
      <alignment horizontal="center"/>
    </xf>
    <xf numFmtId="164" fontId="0" fillId="0" borderId="8" xfId="0" applyNumberFormat="1" applyFill="1" applyBorder="1" applyAlignment="1">
      <alignment horizontal="center"/>
    </xf>
    <xf numFmtId="0" fontId="0" fillId="2" borderId="2" xfId="0" applyFill="1" applyBorder="1"/>
    <xf numFmtId="0" fontId="0" fillId="2" borderId="9" xfId="0" applyFill="1" applyBorder="1"/>
    <xf numFmtId="0" fontId="1" fillId="0" borderId="1" xfId="0" applyFont="1" applyFill="1" applyBorder="1"/>
    <xf numFmtId="1" fontId="0" fillId="2" borderId="5" xfId="0" applyNumberFormat="1" applyFill="1" applyBorder="1"/>
    <xf numFmtId="1" fontId="0" fillId="2" borderId="8" xfId="0" applyNumberFormat="1" applyFill="1" applyBorder="1"/>
    <xf numFmtId="4" fontId="0" fillId="2" borderId="0" xfId="0" applyNumberFormat="1" applyFill="1" applyBorder="1"/>
    <xf numFmtId="2" fontId="1" fillId="0" borderId="0" xfId="0" applyNumberFormat="1" applyFont="1" applyBorder="1"/>
    <xf numFmtId="164" fontId="0" fillId="2" borderId="0" xfId="0" applyNumberFormat="1" applyFont="1" applyFill="1" applyBorder="1"/>
    <xf numFmtId="0" fontId="14" fillId="0" borderId="0" xfId="0" applyFont="1" applyFill="1" applyBorder="1"/>
    <xf numFmtId="164" fontId="0" fillId="0" borderId="2" xfId="0" applyNumberFormat="1" applyBorder="1" applyAlignment="1">
      <alignment horizontal="right"/>
    </xf>
    <xf numFmtId="0" fontId="0" fillId="0" borderId="0" xfId="0" applyFont="1" applyFill="1"/>
    <xf numFmtId="1" fontId="0" fillId="2" borderId="6" xfId="0" applyNumberFormat="1" applyFont="1" applyFill="1" applyBorder="1"/>
    <xf numFmtId="0" fontId="4" fillId="0" borderId="1" xfId="0" applyFont="1" applyBorder="1" applyAlignment="1">
      <alignment horizontal="left"/>
    </xf>
    <xf numFmtId="0" fontId="1" fillId="0" borderId="13" xfId="0" applyFont="1" applyBorder="1"/>
    <xf numFmtId="0" fontId="0" fillId="0" borderId="6" xfId="0" applyFill="1" applyBorder="1" applyAlignment="1">
      <alignment horizontal="center"/>
    </xf>
    <xf numFmtId="3" fontId="8" fillId="0" borderId="2" xfId="0" applyNumberFormat="1" applyFont="1" applyFill="1" applyBorder="1"/>
    <xf numFmtId="0" fontId="0" fillId="3" borderId="0" xfId="0" applyFill="1" applyAlignment="1">
      <alignment horizontal="center"/>
    </xf>
    <xf numFmtId="164" fontId="0" fillId="3" borderId="0" xfId="0" applyNumberFormat="1" applyFill="1" applyAlignment="1">
      <alignment horizontal="center"/>
    </xf>
    <xf numFmtId="2" fontId="0" fillId="3" borderId="0" xfId="0" applyNumberFormat="1" applyFill="1" applyAlignment="1">
      <alignment horizontal="center"/>
    </xf>
    <xf numFmtId="2" fontId="0" fillId="0" borderId="0" xfId="0" applyNumberFormat="1" applyFill="1" applyAlignment="1">
      <alignment horizontal="center"/>
    </xf>
    <xf numFmtId="9" fontId="8" fillId="0" borderId="0" xfId="4" applyFont="1" applyFill="1" applyAlignment="1">
      <alignment horizontal="center"/>
    </xf>
    <xf numFmtId="9" fontId="0" fillId="0" borderId="0" xfId="4" applyFont="1" applyFill="1" applyAlignment="1">
      <alignment horizontal="center"/>
    </xf>
    <xf numFmtId="1" fontId="0" fillId="0" borderId="0" xfId="0" applyNumberFormat="1" applyAlignment="1">
      <alignment horizontal="center"/>
    </xf>
    <xf numFmtId="1" fontId="0" fillId="0" borderId="0" xfId="0" applyNumberFormat="1" applyFill="1" applyAlignment="1">
      <alignment horizontal="center"/>
    </xf>
    <xf numFmtId="3" fontId="0" fillId="0" borderId="0" xfId="0" applyNumberFormat="1" applyAlignment="1">
      <alignment horizontal="center"/>
    </xf>
    <xf numFmtId="3" fontId="0" fillId="0" borderId="0" xfId="0" applyNumberFormat="1" applyFill="1" applyAlignment="1">
      <alignment horizontal="center"/>
    </xf>
    <xf numFmtId="164" fontId="0" fillId="0" borderId="0" xfId="0" applyNumberFormat="1" applyFill="1" applyBorder="1" applyAlignment="1">
      <alignment horizontal="center"/>
    </xf>
    <xf numFmtId="164" fontId="0" fillId="0" borderId="0" xfId="0" applyNumberFormat="1" applyFill="1" applyAlignment="1">
      <alignment horizontal="center"/>
    </xf>
    <xf numFmtId="164" fontId="0" fillId="0" borderId="0" xfId="0" quotePrefix="1" applyNumberFormat="1" applyFill="1" applyBorder="1" applyAlignment="1">
      <alignment horizontal="center"/>
    </xf>
    <xf numFmtId="2" fontId="0" fillId="0" borderId="0" xfId="0" applyNumberFormat="1" applyFill="1" applyBorder="1" applyAlignment="1">
      <alignment horizontal="center"/>
    </xf>
    <xf numFmtId="164" fontId="0" fillId="0" borderId="0" xfId="0" applyNumberFormat="1" applyAlignment="1">
      <alignment horizontal="center"/>
    </xf>
    <xf numFmtId="0" fontId="0" fillId="4" borderId="0" xfId="0" applyFill="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5" borderId="0" xfId="0" applyFill="1" applyBorder="1" applyAlignment="1">
      <alignment horizontal="center"/>
    </xf>
    <xf numFmtId="0" fontId="0" fillId="5" borderId="1" xfId="0" applyFill="1" applyBorder="1" applyAlignment="1">
      <alignment horizontal="center"/>
    </xf>
    <xf numFmtId="3" fontId="0" fillId="0" borderId="1" xfId="0" applyNumberFormat="1" applyBorder="1" applyAlignment="1">
      <alignment horizontal="center"/>
    </xf>
    <xf numFmtId="3" fontId="0" fillId="0" borderId="2" xfId="0" applyNumberFormat="1" applyBorder="1" applyAlignment="1">
      <alignment horizontal="center"/>
    </xf>
    <xf numFmtId="3" fontId="0" fillId="0" borderId="0" xfId="0" applyNumberFormat="1" applyFill="1" applyBorder="1" applyAlignment="1">
      <alignment horizontal="center"/>
    </xf>
    <xf numFmtId="3" fontId="0" fillId="0" borderId="7" xfId="0" applyNumberFormat="1" applyBorder="1" applyAlignment="1">
      <alignment horizontal="center"/>
    </xf>
    <xf numFmtId="3" fontId="0" fillId="0" borderId="9" xfId="0" applyNumberFormat="1" applyBorder="1" applyAlignment="1">
      <alignment horizontal="center"/>
    </xf>
    <xf numFmtId="0" fontId="16" fillId="0" borderId="0" xfId="0" applyFont="1" applyFill="1" applyBorder="1" applyAlignment="1">
      <alignment horizontal="center"/>
    </xf>
    <xf numFmtId="0" fontId="0" fillId="0" borderId="5" xfId="0" applyFont="1" applyBorder="1" applyAlignment="1">
      <alignment horizontal="center"/>
    </xf>
    <xf numFmtId="1" fontId="0" fillId="0" borderId="2" xfId="0" applyNumberFormat="1" applyBorder="1" applyAlignment="1">
      <alignment horizontal="center"/>
    </xf>
    <xf numFmtId="1" fontId="0" fillId="0" borderId="1" xfId="0" applyNumberFormat="1" applyBorder="1" applyAlignment="1">
      <alignment horizontal="center"/>
    </xf>
    <xf numFmtId="1" fontId="0" fillId="0" borderId="2" xfId="0" applyNumberFormat="1" applyFill="1" applyBorder="1" applyAlignment="1">
      <alignment horizontal="center"/>
    </xf>
    <xf numFmtId="0" fontId="0" fillId="0" borderId="4" xfId="0" applyFont="1" applyBorder="1" applyAlignment="1">
      <alignment horizontal="center"/>
    </xf>
    <xf numFmtId="0" fontId="0" fillId="0" borderId="5" xfId="0" applyFont="1" applyFill="1" applyBorder="1" applyAlignment="1">
      <alignment horizontal="center"/>
    </xf>
    <xf numFmtId="0" fontId="0" fillId="0" borderId="6" xfId="0" applyFont="1" applyFill="1" applyBorder="1" applyAlignment="1">
      <alignment horizontal="center"/>
    </xf>
    <xf numFmtId="2" fontId="0" fillId="0" borderId="1" xfId="0" applyNumberFormat="1" applyBorder="1" applyAlignment="1">
      <alignment horizontal="center"/>
    </xf>
    <xf numFmtId="2" fontId="0" fillId="0" borderId="7" xfId="0" applyNumberFormat="1" applyBorder="1" applyAlignment="1">
      <alignment horizontal="center"/>
    </xf>
    <xf numFmtId="1" fontId="0" fillId="0" borderId="9" xfId="0" applyNumberFormat="1" applyBorder="1" applyAlignment="1">
      <alignment horizontal="center"/>
    </xf>
    <xf numFmtId="0" fontId="16" fillId="0" borderId="4" xfId="0" applyFont="1" applyBorder="1"/>
    <xf numFmtId="0" fontId="1" fillId="7" borderId="5" xfId="0" applyFont="1" applyFill="1" applyBorder="1"/>
    <xf numFmtId="0" fontId="1" fillId="7" borderId="6" xfId="0" applyFont="1" applyFill="1" applyBorder="1"/>
    <xf numFmtId="0" fontId="8" fillId="0" borderId="0" xfId="0" applyFont="1" applyFill="1" applyBorder="1"/>
    <xf numFmtId="0" fontId="1" fillId="0" borderId="0" xfId="0" applyFont="1" applyFill="1" applyAlignment="1">
      <alignment horizontal="left"/>
    </xf>
    <xf numFmtId="0" fontId="1" fillId="0" borderId="0" xfId="0" applyFont="1" applyFill="1" applyBorder="1" applyAlignment="1">
      <alignment horizontal="left"/>
    </xf>
    <xf numFmtId="0" fontId="0" fillId="0" borderId="0" xfId="0" applyFont="1" applyFill="1" applyBorder="1" applyAlignment="1">
      <alignment horizontal="left"/>
    </xf>
    <xf numFmtId="0" fontId="0" fillId="0" borderId="0" xfId="0" applyNumberFormat="1" applyFill="1"/>
    <xf numFmtId="1" fontId="0" fillId="0" borderId="5" xfId="0" applyNumberFormat="1" applyFill="1" applyBorder="1"/>
    <xf numFmtId="0" fontId="12" fillId="0" borderId="0" xfId="0" applyFont="1" applyFill="1" applyBorder="1"/>
    <xf numFmtId="0" fontId="0" fillId="0" borderId="11" xfId="0" applyBorder="1"/>
    <xf numFmtId="0" fontId="0" fillId="0" borderId="12" xfId="0" applyBorder="1"/>
    <xf numFmtId="0" fontId="0" fillId="0" borderId="0" xfId="0" applyNumberFormat="1"/>
    <xf numFmtId="1" fontId="0" fillId="0" borderId="1" xfId="0" applyNumberFormat="1" applyFill="1" applyBorder="1" applyAlignment="1">
      <alignment horizontal="center"/>
    </xf>
    <xf numFmtId="3" fontId="0" fillId="0" borderId="1" xfId="0" applyNumberFormat="1" applyFill="1" applyBorder="1" applyAlignment="1">
      <alignment horizontal="center"/>
    </xf>
    <xf numFmtId="0" fontId="0" fillId="0" borderId="8" xfId="0" applyBorder="1" applyAlignment="1">
      <alignment horizontal="center"/>
    </xf>
    <xf numFmtId="2" fontId="0" fillId="2" borderId="6" xfId="0" applyNumberFormat="1" applyFill="1" applyBorder="1" applyAlignment="1">
      <alignment horizontal="center"/>
    </xf>
    <xf numFmtId="168" fontId="0" fillId="0" borderId="0" xfId="0" applyNumberFormat="1" applyFill="1" applyAlignment="1">
      <alignment horizontal="center"/>
    </xf>
    <xf numFmtId="0" fontId="0" fillId="2" borderId="8" xfId="0" applyFont="1" applyFill="1" applyBorder="1"/>
    <xf numFmtId="4" fontId="0" fillId="2" borderId="5" xfId="0" applyNumberFormat="1" applyFont="1" applyFill="1" applyBorder="1"/>
    <xf numFmtId="0" fontId="17" fillId="0" borderId="1" xfId="0" applyFont="1" applyBorder="1"/>
    <xf numFmtId="165" fontId="0" fillId="0" borderId="0" xfId="0" applyNumberFormat="1" applyBorder="1"/>
    <xf numFmtId="0" fontId="0" fillId="0" borderId="10" xfId="0" applyFill="1" applyBorder="1"/>
    <xf numFmtId="3" fontId="0" fillId="2" borderId="11" xfId="0" applyNumberFormat="1" applyFill="1" applyBorder="1"/>
    <xf numFmtId="0" fontId="0" fillId="0" borderId="12" xfId="0" applyBorder="1" applyAlignment="1">
      <alignment horizontal="center"/>
    </xf>
    <xf numFmtId="0" fontId="18" fillId="0" borderId="1" xfId="0" applyFont="1" applyBorder="1"/>
    <xf numFmtId="165" fontId="0" fillId="2" borderId="0" xfId="0" applyNumberFormat="1" applyFill="1" applyBorder="1"/>
    <xf numFmtId="168" fontId="0" fillId="2" borderId="8" xfId="0" applyNumberFormat="1" applyFill="1" applyBorder="1"/>
    <xf numFmtId="164" fontId="0" fillId="0" borderId="2" xfId="0" applyNumberFormat="1" applyFill="1" applyBorder="1" applyAlignment="1">
      <alignment horizontal="center"/>
    </xf>
    <xf numFmtId="168" fontId="0" fillId="0" borderId="0" xfId="0" applyNumberFormat="1" applyFill="1" applyBorder="1"/>
    <xf numFmtId="2" fontId="0" fillId="0" borderId="5" xfId="0" applyNumberFormat="1" applyFont="1" applyBorder="1"/>
    <xf numFmtId="2" fontId="0" fillId="0" borderId="8" xfId="0" applyNumberFormat="1" applyFill="1" applyBorder="1" applyAlignment="1">
      <alignment horizontal="center"/>
    </xf>
    <xf numFmtId="9" fontId="9" fillId="0" borderId="0" xfId="4" applyFont="1" applyFill="1" applyAlignment="1">
      <alignment horizontal="center"/>
    </xf>
    <xf numFmtId="9" fontId="0" fillId="0" borderId="0" xfId="0" applyNumberFormat="1" applyFill="1" applyAlignment="1">
      <alignment horizontal="center"/>
    </xf>
    <xf numFmtId="164" fontId="0" fillId="0" borderId="0" xfId="0" applyNumberFormat="1" applyFont="1" applyFill="1"/>
    <xf numFmtId="0" fontId="0" fillId="0" borderId="0" xfId="0" applyNumberFormat="1" applyFont="1"/>
    <xf numFmtId="9" fontId="0" fillId="0" borderId="0" xfId="4" applyFont="1"/>
    <xf numFmtId="2" fontId="0" fillId="0" borderId="5" xfId="0" applyNumberFormat="1" applyFill="1" applyBorder="1" applyAlignment="1">
      <alignment horizontal="center"/>
    </xf>
    <xf numFmtId="0" fontId="0" fillId="0" borderId="5" xfId="0" applyFont="1" applyFill="1" applyBorder="1"/>
    <xf numFmtId="2" fontId="0" fillId="2" borderId="0" xfId="0" applyNumberFormat="1" applyFill="1" applyBorder="1" applyAlignment="1">
      <alignment horizontal="center"/>
    </xf>
    <xf numFmtId="2" fontId="0" fillId="2" borderId="2" xfId="0" applyNumberFormat="1" applyFill="1" applyBorder="1"/>
    <xf numFmtId="168" fontId="0" fillId="2" borderId="9" xfId="0" applyNumberFormat="1" applyFill="1" applyBorder="1"/>
    <xf numFmtId="0" fontId="8" fillId="0" borderId="0" xfId="0" applyFont="1"/>
    <xf numFmtId="0" fontId="0" fillId="0" borderId="9" xfId="0" applyFont="1" applyBorder="1"/>
    <xf numFmtId="0" fontId="0" fillId="0" borderId="2" xfId="0" applyFont="1" applyFill="1" applyBorder="1"/>
    <xf numFmtId="0" fontId="0" fillId="0" borderId="6" xfId="0" applyFont="1" applyFill="1" applyBorder="1"/>
    <xf numFmtId="0" fontId="19" fillId="0" borderId="0" xfId="0" applyNumberFormat="1" applyFont="1" applyFill="1" applyBorder="1" applyAlignment="1" applyProtection="1"/>
    <xf numFmtId="2" fontId="0" fillId="0" borderId="0" xfId="0" applyNumberFormat="1" applyFont="1"/>
    <xf numFmtId="2" fontId="0" fillId="0" borderId="2" xfId="0" applyNumberFormat="1" applyFont="1" applyBorder="1"/>
    <xf numFmtId="2" fontId="0" fillId="0" borderId="6" xfId="0" applyNumberFormat="1" applyFont="1" applyBorder="1" applyAlignment="1">
      <alignment horizontal="center"/>
    </xf>
    <xf numFmtId="2" fontId="0" fillId="0" borderId="2" xfId="0" applyNumberFormat="1" applyFont="1" applyBorder="1" applyAlignment="1">
      <alignment horizontal="center"/>
    </xf>
    <xf numFmtId="2" fontId="0" fillId="0" borderId="2" xfId="0" applyNumberFormat="1" applyFont="1" applyFill="1" applyBorder="1" applyAlignment="1">
      <alignment horizontal="center"/>
    </xf>
    <xf numFmtId="2" fontId="0" fillId="0" borderId="0" xfId="0" applyNumberFormat="1" applyFont="1" applyBorder="1" applyAlignment="1">
      <alignment horizontal="right"/>
    </xf>
    <xf numFmtId="2" fontId="0" fillId="0" borderId="9" xfId="0" applyNumberFormat="1" applyFont="1" applyBorder="1" applyAlignment="1">
      <alignment horizontal="center"/>
    </xf>
    <xf numFmtId="2" fontId="0" fillId="0" borderId="0" xfId="0" applyNumberFormat="1" applyFont="1" applyBorder="1" applyAlignment="1">
      <alignment horizontal="center"/>
    </xf>
    <xf numFmtId="2" fontId="0" fillId="0" borderId="0" xfId="0" applyNumberFormat="1" applyFont="1" applyAlignment="1">
      <alignment horizontal="center"/>
    </xf>
    <xf numFmtId="1" fontId="0" fillId="0" borderId="2" xfId="0" applyNumberFormat="1" applyFont="1" applyBorder="1"/>
    <xf numFmtId="164" fontId="0" fillId="0" borderId="2" xfId="0" applyNumberFormat="1" applyFont="1" applyBorder="1"/>
    <xf numFmtId="0" fontId="0" fillId="0" borderId="9" xfId="0" applyFont="1" applyFill="1" applyBorder="1"/>
    <xf numFmtId="0" fontId="0" fillId="2" borderId="6" xfId="0" applyFont="1" applyFill="1" applyBorder="1"/>
    <xf numFmtId="164" fontId="0" fillId="0" borderId="5" xfId="0" applyNumberFormat="1" applyFont="1" applyFill="1" applyBorder="1"/>
    <xf numFmtId="0" fontId="0" fillId="0" borderId="6" xfId="0" applyFont="1" applyBorder="1" applyAlignment="1">
      <alignment horizontal="center"/>
    </xf>
    <xf numFmtId="1" fontId="0" fillId="0" borderId="0" xfId="0" applyNumberFormat="1" applyFont="1" applyBorder="1" applyAlignment="1">
      <alignment horizontal="center"/>
    </xf>
    <xf numFmtId="0" fontId="0" fillId="0" borderId="2" xfId="0" applyFont="1" applyFill="1" applyBorder="1" applyAlignment="1">
      <alignment horizontal="center"/>
    </xf>
    <xf numFmtId="0" fontId="0" fillId="0" borderId="9" xfId="0" applyFont="1" applyBorder="1" applyAlignment="1">
      <alignment horizontal="center"/>
    </xf>
    <xf numFmtId="0" fontId="0" fillId="0" borderId="4" xfId="0" applyFont="1" applyBorder="1" applyAlignment="1">
      <alignment horizontal="left"/>
    </xf>
    <xf numFmtId="2" fontId="0" fillId="0" borderId="8" xfId="0" applyNumberFormat="1" applyFont="1" applyBorder="1" applyAlignment="1">
      <alignment horizontal="center"/>
    </xf>
    <xf numFmtId="2" fontId="0" fillId="2" borderId="5" xfId="0" applyNumberFormat="1" applyFont="1" applyFill="1" applyBorder="1"/>
    <xf numFmtId="2" fontId="0" fillId="0" borderId="5" xfId="0" applyNumberFormat="1" applyBorder="1"/>
    <xf numFmtId="0" fontId="20" fillId="0" borderId="0" xfId="0" applyFont="1"/>
    <xf numFmtId="169" fontId="1" fillId="0" borderId="0" xfId="0" applyNumberFormat="1" applyFont="1"/>
    <xf numFmtId="0" fontId="21" fillId="0" borderId="4" xfId="0" applyFont="1" applyBorder="1" applyAlignment="1">
      <alignment horizontal="left" vertical="center" readingOrder="1"/>
    </xf>
    <xf numFmtId="169" fontId="0" fillId="0" borderId="0" xfId="0" applyNumberFormat="1" applyFont="1" applyAlignment="1">
      <alignment horizontal="left"/>
    </xf>
    <xf numFmtId="0" fontId="4" fillId="2" borderId="0" xfId="0" applyFont="1" applyFill="1"/>
    <xf numFmtId="0" fontId="4" fillId="6" borderId="0" xfId="0" applyFont="1" applyFill="1"/>
    <xf numFmtId="0" fontId="23" fillId="0" borderId="0" xfId="0" applyFont="1" applyAlignment="1">
      <alignment horizontal="left" vertical="center" wrapText="1"/>
    </xf>
    <xf numFmtId="0" fontId="24" fillId="0" borderId="0" xfId="0" applyFont="1" applyAlignment="1">
      <alignment horizontal="left" vertical="center" wrapText="1"/>
    </xf>
    <xf numFmtId="0" fontId="0" fillId="0" borderId="0" xfId="0" applyAlignment="1">
      <alignment horizontal="left" vertical="center" wrapText="1" indent="1"/>
    </xf>
    <xf numFmtId="0" fontId="25" fillId="0" borderId="0" xfId="0" applyFont="1" applyAlignment="1">
      <alignment horizontal="left" vertical="center" wrapText="1" indent="1"/>
    </xf>
    <xf numFmtId="0" fontId="23" fillId="0" borderId="0" xfId="0" applyFont="1" applyAlignment="1">
      <alignment horizontal="left" vertical="center" wrapText="1" indent="1"/>
    </xf>
    <xf numFmtId="0" fontId="25" fillId="0" borderId="0" xfId="0" applyFont="1" applyAlignment="1">
      <alignment horizontal="left" vertical="center" wrapText="1" indent="2"/>
    </xf>
    <xf numFmtId="167" fontId="0" fillId="0" borderId="0" xfId="4" applyNumberFormat="1" applyFont="1" applyFill="1" applyAlignment="1">
      <alignment horizontal="center"/>
    </xf>
    <xf numFmtId="9" fontId="0" fillId="0" borderId="0" xfId="4" applyNumberFormat="1" applyFont="1" applyFill="1" applyAlignment="1">
      <alignment horizontal="center"/>
    </xf>
    <xf numFmtId="0" fontId="0" fillId="0" borderId="8" xfId="0" applyBorder="1" applyAlignment="1">
      <alignment horizontal="center"/>
    </xf>
    <xf numFmtId="1" fontId="0" fillId="0" borderId="5" xfId="0" applyNumberFormat="1" applyFill="1" applyBorder="1" applyAlignment="1">
      <alignment horizontal="right"/>
    </xf>
    <xf numFmtId="164" fontId="0" fillId="0" borderId="5" xfId="0" applyNumberFormat="1" applyFont="1" applyBorder="1" applyAlignment="1">
      <alignment horizontal="right"/>
    </xf>
    <xf numFmtId="0" fontId="0" fillId="0" borderId="6" xfId="0" applyBorder="1" applyAlignment="1">
      <alignment horizontal="left"/>
    </xf>
    <xf numFmtId="0" fontId="0" fillId="0" borderId="8" xfId="0" applyFont="1" applyBorder="1"/>
    <xf numFmtId="164" fontId="0" fillId="0" borderId="5" xfId="0" applyNumberFormat="1" applyFill="1" applyBorder="1" applyAlignment="1">
      <alignment horizontal="center"/>
    </xf>
    <xf numFmtId="164" fontId="0" fillId="0" borderId="8" xfId="0" applyNumberFormat="1" applyBorder="1" applyAlignment="1">
      <alignment horizontal="center"/>
    </xf>
    <xf numFmtId="1" fontId="0" fillId="0" borderId="8" xfId="0" applyNumberFormat="1" applyFont="1" applyFill="1" applyBorder="1"/>
    <xf numFmtId="2" fontId="0" fillId="0" borderId="9" xfId="0" applyNumberFormat="1" applyFont="1" applyBorder="1"/>
    <xf numFmtId="2" fontId="0" fillId="0" borderId="5" xfId="0" applyNumberFormat="1" applyFill="1" applyBorder="1"/>
    <xf numFmtId="2" fontId="0" fillId="0" borderId="8" xfId="0" applyNumberFormat="1" applyFill="1" applyBorder="1"/>
    <xf numFmtId="0" fontId="0" fillId="0" borderId="0" xfId="0" applyFont="1" applyFill="1" applyAlignment="1">
      <alignment horizontal="center"/>
    </xf>
    <xf numFmtId="164" fontId="0" fillId="0" borderId="2" xfId="0" applyNumberFormat="1" applyFill="1" applyBorder="1"/>
    <xf numFmtId="0" fontId="27" fillId="0" borderId="0" xfId="0" applyFont="1" applyAlignment="1">
      <alignment vertical="center"/>
    </xf>
    <xf numFmtId="164" fontId="0" fillId="0" borderId="6" xfId="0" applyNumberFormat="1" applyFont="1" applyFill="1" applyBorder="1"/>
    <xf numFmtId="2" fontId="0" fillId="0" borderId="2" xfId="0" applyNumberFormat="1" applyFont="1" applyFill="1" applyBorder="1"/>
    <xf numFmtId="2" fontId="0" fillId="0" borderId="6" xfId="0" applyNumberFormat="1" applyFont="1" applyFill="1" applyBorder="1" applyAlignment="1">
      <alignment horizontal="center"/>
    </xf>
    <xf numFmtId="2" fontId="0" fillId="0" borderId="2" xfId="0" applyNumberFormat="1" applyFont="1" applyFill="1" applyBorder="1" applyAlignment="1">
      <alignment horizontal="right"/>
    </xf>
    <xf numFmtId="2" fontId="0" fillId="0" borderId="0" xfId="0" applyNumberFormat="1" applyFont="1" applyFill="1" applyBorder="1" applyAlignment="1">
      <alignment horizontal="center"/>
    </xf>
    <xf numFmtId="1" fontId="0" fillId="0" borderId="2" xfId="0" applyNumberFormat="1" applyFont="1" applyFill="1" applyBorder="1"/>
    <xf numFmtId="164" fontId="0" fillId="0" borderId="2" xfId="0" applyNumberFormat="1" applyFont="1" applyFill="1" applyBorder="1"/>
    <xf numFmtId="0" fontId="0" fillId="0" borderId="0" xfId="0" applyFont="1" applyFill="1" applyBorder="1" applyAlignment="1">
      <alignment horizontal="center"/>
    </xf>
    <xf numFmtId="1" fontId="0" fillId="0" borderId="2" xfId="0" applyNumberFormat="1" applyFont="1" applyFill="1" applyBorder="1" applyAlignment="1">
      <alignment horizontal="right"/>
    </xf>
    <xf numFmtId="164" fontId="0" fillId="0" borderId="2" xfId="0" applyNumberFormat="1" applyFont="1" applyFill="1" applyBorder="1" applyAlignment="1">
      <alignment horizontal="right"/>
    </xf>
    <xf numFmtId="164" fontId="0" fillId="0" borderId="0" xfId="0" applyNumberFormat="1" applyFont="1" applyFill="1" applyBorder="1" applyAlignment="1">
      <alignment horizontal="right"/>
    </xf>
    <xf numFmtId="0" fontId="0" fillId="0" borderId="9" xfId="0" applyFont="1" applyFill="1" applyBorder="1" applyAlignment="1">
      <alignment horizontal="center"/>
    </xf>
    <xf numFmtId="164" fontId="0" fillId="0" borderId="5" xfId="0" applyNumberFormat="1" applyFont="1" applyFill="1" applyBorder="1" applyAlignment="1">
      <alignment horizontal="right"/>
    </xf>
    <xf numFmtId="164" fontId="0" fillId="0" borderId="5" xfId="0" applyNumberFormat="1" applyFont="1" applyFill="1" applyBorder="1" applyAlignment="1">
      <alignment horizontal="center"/>
    </xf>
    <xf numFmtId="164" fontId="0" fillId="0" borderId="0" xfId="0" applyNumberFormat="1" applyFont="1" applyFill="1" applyBorder="1" applyAlignment="1">
      <alignment horizontal="center"/>
    </xf>
    <xf numFmtId="1" fontId="0" fillId="0" borderId="0" xfId="0" applyNumberFormat="1" applyFont="1" applyFill="1" applyBorder="1" applyAlignment="1">
      <alignment horizontal="right"/>
    </xf>
    <xf numFmtId="164" fontId="0" fillId="0" borderId="6" xfId="0" applyNumberFormat="1" applyFont="1" applyFill="1" applyBorder="1" applyAlignment="1">
      <alignment horizontal="center"/>
    </xf>
    <xf numFmtId="164" fontId="0" fillId="0" borderId="2" xfId="0" applyNumberFormat="1" applyFont="1" applyFill="1" applyBorder="1" applyAlignment="1">
      <alignment horizontal="center"/>
    </xf>
    <xf numFmtId="0" fontId="0" fillId="0" borderId="0" xfId="0" applyFont="1" applyFill="1" applyAlignment="1">
      <alignment horizontal="left"/>
    </xf>
    <xf numFmtId="164" fontId="0" fillId="0" borderId="8" xfId="0" applyNumberFormat="1" applyFont="1" applyFill="1" applyBorder="1" applyAlignment="1">
      <alignment horizontal="right"/>
    </xf>
    <xf numFmtId="1" fontId="0" fillId="2" borderId="6" xfId="0" applyNumberFormat="1" applyFont="1" applyFill="1" applyBorder="1" applyAlignment="1">
      <alignment horizontal="right"/>
    </xf>
    <xf numFmtId="0" fontId="4" fillId="0" borderId="0" xfId="0" applyFont="1" applyFill="1" applyBorder="1"/>
    <xf numFmtId="1" fontId="0" fillId="2" borderId="0" xfId="0" applyNumberFormat="1" applyFont="1" applyFill="1" applyBorder="1"/>
    <xf numFmtId="164" fontId="0" fillId="0" borderId="6" xfId="0" applyNumberFormat="1" applyFill="1" applyBorder="1"/>
    <xf numFmtId="0" fontId="27" fillId="0" borderId="0" xfId="0" applyFont="1" applyAlignment="1">
      <alignment horizontal="left" vertical="center" indent="5"/>
    </xf>
    <xf numFmtId="2" fontId="0" fillId="0" borderId="0" xfId="0" applyNumberFormat="1" applyFont="1" applyBorder="1" applyAlignment="1">
      <alignment horizontal="left"/>
    </xf>
    <xf numFmtId="0" fontId="0" fillId="0" borderId="13" xfId="0" applyFont="1" applyBorder="1"/>
    <xf numFmtId="0" fontId="0" fillId="0" borderId="19" xfId="0" applyFont="1" applyBorder="1"/>
    <xf numFmtId="0" fontId="0" fillId="0" borderId="20" xfId="0" applyFont="1" applyBorder="1"/>
    <xf numFmtId="0" fontId="0" fillId="0" borderId="1" xfId="0" applyFont="1" applyBorder="1" applyAlignment="1">
      <alignment horizontal="left"/>
    </xf>
    <xf numFmtId="1" fontId="0" fillId="0" borderId="8" xfId="0" applyNumberFormat="1" applyFont="1" applyBorder="1" applyAlignment="1">
      <alignment horizontal="center"/>
    </xf>
    <xf numFmtId="0" fontId="0" fillId="0" borderId="0" xfId="0" applyFont="1" applyFill="1" applyBorder="1" applyAlignment="1">
      <alignment horizontal="right"/>
    </xf>
    <xf numFmtId="0" fontId="27" fillId="0" borderId="0" xfId="0" applyFont="1" applyBorder="1" applyAlignment="1">
      <alignment horizontal="left" vertical="center" indent="5"/>
    </xf>
    <xf numFmtId="2" fontId="0" fillId="0" borderId="0" xfId="0" applyNumberFormat="1" applyFont="1" applyFill="1" applyBorder="1" applyAlignment="1">
      <alignment horizontal="right"/>
    </xf>
    <xf numFmtId="0" fontId="22" fillId="0" borderId="0" xfId="0" applyFont="1" applyAlignment="1">
      <alignment vertical="center" wrapText="1"/>
    </xf>
    <xf numFmtId="168" fontId="0" fillId="2" borderId="0" xfId="0" applyNumberFormat="1" applyFill="1"/>
    <xf numFmtId="11" fontId="0" fillId="10" borderId="0" xfId="0" applyNumberFormat="1" applyFill="1"/>
    <xf numFmtId="0" fontId="29" fillId="0" borderId="0" xfId="0" applyFont="1" applyAlignment="1">
      <alignment vertical="center"/>
    </xf>
    <xf numFmtId="165" fontId="0" fillId="10" borderId="0" xfId="0" applyNumberFormat="1" applyFill="1"/>
    <xf numFmtId="165" fontId="0" fillId="0" borderId="0" xfId="0" applyNumberFormat="1"/>
    <xf numFmtId="0" fontId="29" fillId="0" borderId="0" xfId="0" applyFont="1"/>
    <xf numFmtId="0" fontId="30" fillId="0" borderId="0" xfId="0" applyFont="1"/>
    <xf numFmtId="2" fontId="8" fillId="0" borderId="0" xfId="0" applyNumberFormat="1" applyFont="1" applyFill="1"/>
    <xf numFmtId="0" fontId="30" fillId="0" borderId="4" xfId="0" applyFont="1" applyBorder="1"/>
    <xf numFmtId="2" fontId="8" fillId="10" borderId="6" xfId="0" applyNumberFormat="1" applyFont="1" applyFill="1" applyBorder="1"/>
    <xf numFmtId="0" fontId="8" fillId="0" borderId="1" xfId="0" applyFont="1" applyBorder="1"/>
    <xf numFmtId="2" fontId="8" fillId="0" borderId="2" xfId="0" applyNumberFormat="1" applyFont="1" applyFill="1" applyBorder="1"/>
    <xf numFmtId="0" fontId="8" fillId="0" borderId="7" xfId="0" applyFont="1" applyBorder="1"/>
    <xf numFmtId="2" fontId="8" fillId="0" borderId="9" xfId="0" applyNumberFormat="1" applyFont="1" applyBorder="1"/>
    <xf numFmtId="0" fontId="8" fillId="0" borderId="4" xfId="0" applyFont="1" applyBorder="1"/>
    <xf numFmtId="2" fontId="8" fillId="0" borderId="5" xfId="0" applyNumberFormat="1" applyFont="1" applyFill="1" applyBorder="1"/>
    <xf numFmtId="0" fontId="8" fillId="0" borderId="6" xfId="0" applyFont="1" applyBorder="1"/>
    <xf numFmtId="2" fontId="8" fillId="0" borderId="0" xfId="0" applyNumberFormat="1" applyFont="1" applyFill="1" applyBorder="1" applyAlignment="1">
      <alignment horizontal="right"/>
    </xf>
    <xf numFmtId="0" fontId="8" fillId="0" borderId="2" xfId="0" applyFont="1" applyBorder="1"/>
    <xf numFmtId="2" fontId="8" fillId="0" borderId="0" xfId="0" applyNumberFormat="1" applyFont="1" applyFill="1" applyBorder="1"/>
    <xf numFmtId="1" fontId="8" fillId="0" borderId="0" xfId="0" applyNumberFormat="1" applyFont="1" applyBorder="1"/>
    <xf numFmtId="0" fontId="8" fillId="0" borderId="2" xfId="0" applyFont="1" applyFill="1" applyBorder="1"/>
    <xf numFmtId="2" fontId="8" fillId="0" borderId="8" xfId="0" applyNumberFormat="1" applyFont="1" applyFill="1" applyBorder="1"/>
    <xf numFmtId="0" fontId="8" fillId="0" borderId="9" xfId="0" applyFont="1" applyFill="1" applyBorder="1"/>
    <xf numFmtId="0" fontId="8" fillId="0" borderId="0" xfId="0" applyFont="1" applyBorder="1"/>
    <xf numFmtId="2" fontId="8" fillId="0" borderId="8" xfId="0" applyNumberFormat="1" applyFont="1" applyFill="1" applyBorder="1" applyAlignment="1">
      <alignment horizontal="right"/>
    </xf>
    <xf numFmtId="0" fontId="8" fillId="0" borderId="9" xfId="0" applyFont="1" applyBorder="1"/>
    <xf numFmtId="2" fontId="8" fillId="0" borderId="0" xfId="0" applyNumberFormat="1" applyFont="1" applyFill="1" applyAlignment="1">
      <alignment horizontal="right"/>
    </xf>
    <xf numFmtId="2" fontId="8" fillId="0" borderId="5" xfId="0" applyNumberFormat="1" applyFont="1" applyFill="1" applyBorder="1" applyAlignment="1">
      <alignment horizontal="right"/>
    </xf>
    <xf numFmtId="2" fontId="8" fillId="0" borderId="0" xfId="0" applyNumberFormat="1" applyFont="1"/>
    <xf numFmtId="2" fontId="8" fillId="0" borderId="2" xfId="0" applyNumberFormat="1" applyFont="1" applyBorder="1"/>
    <xf numFmtId="2" fontId="8" fillId="0" borderId="2" xfId="0" applyNumberFormat="1" applyFont="1" applyFill="1" applyBorder="1" applyAlignment="1">
      <alignment horizontal="right"/>
    </xf>
    <xf numFmtId="2" fontId="8" fillId="0" borderId="9" xfId="0" applyNumberFormat="1" applyFont="1" applyFill="1" applyBorder="1"/>
    <xf numFmtId="0" fontId="30" fillId="0" borderId="4" xfId="0" applyFont="1" applyFill="1" applyBorder="1"/>
    <xf numFmtId="2" fontId="8" fillId="10" borderId="0" xfId="0" applyNumberFormat="1" applyFont="1" applyFill="1"/>
    <xf numFmtId="0" fontId="8" fillId="0" borderId="10" xfId="0" applyFont="1" applyBorder="1"/>
    <xf numFmtId="2" fontId="8" fillId="10" borderId="11" xfId="0" applyNumberFormat="1" applyFont="1" applyFill="1" applyBorder="1"/>
    <xf numFmtId="0" fontId="8" fillId="0" borderId="12" xfId="0" applyFont="1" applyBorder="1"/>
    <xf numFmtId="2" fontId="8" fillId="10" borderId="6" xfId="0" applyNumberFormat="1" applyFont="1" applyFill="1" applyBorder="1" applyAlignment="1">
      <alignment horizontal="right"/>
    </xf>
    <xf numFmtId="2" fontId="8" fillId="2" borderId="0" xfId="0" applyNumberFormat="1" applyFont="1" applyFill="1" applyBorder="1"/>
    <xf numFmtId="164" fontId="0" fillId="0" borderId="0" xfId="0" applyNumberFormat="1"/>
    <xf numFmtId="0" fontId="7" fillId="0" borderId="0" xfId="0" applyFont="1" applyFill="1" applyBorder="1"/>
    <xf numFmtId="3" fontId="0" fillId="0" borderId="9" xfId="0" applyNumberFormat="1" applyFill="1" applyBorder="1"/>
    <xf numFmtId="0" fontId="0" fillId="7" borderId="7" xfId="0" applyFill="1" applyBorder="1" applyAlignment="1">
      <alignment horizontal="center"/>
    </xf>
    <xf numFmtId="0" fontId="0" fillId="7" borderId="8" xfId="0" applyFill="1" applyBorder="1" applyAlignment="1">
      <alignment horizontal="center"/>
    </xf>
    <xf numFmtId="0" fontId="0" fillId="7" borderId="9" xfId="0" applyFill="1" applyBorder="1" applyAlignment="1">
      <alignment horizontal="center"/>
    </xf>
    <xf numFmtId="0" fontId="0" fillId="0" borderId="0" xfId="0" applyBorder="1" applyAlignment="1">
      <alignment horizontal="left"/>
    </xf>
    <xf numFmtId="170" fontId="0" fillId="0" borderId="0" xfId="0" applyNumberFormat="1" applyFill="1" applyBorder="1"/>
    <xf numFmtId="3" fontId="0" fillId="6" borderId="0" xfId="0" applyNumberFormat="1" applyFill="1"/>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0" fillId="0" borderId="17" xfId="0" applyBorder="1" applyAlignment="1">
      <alignment horizontal="center"/>
    </xf>
    <xf numFmtId="0" fontId="0" fillId="0" borderId="3" xfId="0" applyBorder="1" applyAlignment="1">
      <alignment horizontal="center"/>
    </xf>
    <xf numFmtId="0" fontId="0" fillId="0" borderId="18" xfId="0" applyBorder="1" applyAlignment="1">
      <alignment horizontal="center"/>
    </xf>
    <xf numFmtId="0" fontId="0" fillId="0" borderId="8" xfId="0" applyBorder="1" applyAlignment="1">
      <alignment horizontal="center"/>
    </xf>
  </cellXfs>
  <cellStyles count="5">
    <cellStyle name="Normal" xfId="0" builtinId="0"/>
    <cellStyle name="Normal 2" xfId="1"/>
    <cellStyle name="Percent" xfId="4" builtinId="5"/>
    <cellStyle name="Porcentagem 2" xfId="2"/>
    <cellStyle name="Separador de milhares 2" xfId="3"/>
  </cellStyles>
  <dxfs count="0"/>
  <tableStyles count="0" defaultTableStyle="TableStyleMedium9" defaultPivotStyle="PivotStyleLight16"/>
  <colors>
    <mruColors>
      <color rgb="FFFFFF99"/>
      <color rgb="FFB4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GHGs</a:t>
            </a:r>
            <a:r>
              <a:rPr lang="en-US" baseline="0"/>
              <a:t> total emissions</a:t>
            </a:r>
            <a:endParaRPr lang="en-US"/>
          </a:p>
        </c:rich>
      </c:tx>
      <c:overlay val="0"/>
    </c:title>
    <c:autoTitleDeleted val="0"/>
    <c:plotArea>
      <c:layout/>
      <c:pieChart>
        <c:varyColors val="1"/>
        <c:ser>
          <c:idx val="0"/>
          <c:order val="0"/>
          <c:cat>
            <c:strRef>
              <c:f>Crop!$A$87:$A$97</c:f>
              <c:strCache>
                <c:ptCount val="11"/>
                <c:pt idx="0">
                  <c:v>N</c:v>
                </c:pt>
                <c:pt idx="1">
                  <c:v>P</c:v>
                </c:pt>
                <c:pt idx="2">
                  <c:v>K</c:v>
                </c:pt>
                <c:pt idx="3">
                  <c:v>Lime</c:v>
                </c:pt>
                <c:pt idx="4">
                  <c:v>Seed</c:v>
                </c:pt>
                <c:pt idx="5">
                  <c:v>Herbicide</c:v>
                </c:pt>
                <c:pt idx="6">
                  <c:v>Insecticide</c:v>
                </c:pt>
                <c:pt idx="7">
                  <c:v>On farm fuel use</c:v>
                </c:pt>
                <c:pt idx="8">
                  <c:v>Transportation of inputs</c:v>
                </c:pt>
                <c:pt idx="9">
                  <c:v>Drying</c:v>
                </c:pt>
                <c:pt idx="10">
                  <c:v>Nitrous oxide from N (IPCC method)</c:v>
                </c:pt>
              </c:strCache>
            </c:strRef>
          </c:cat>
          <c:val>
            <c:numRef>
              <c:f>Crop!$B$87:$B$97</c:f>
              <c:numCache>
                <c:formatCode>#,##0</c:formatCode>
                <c:ptCount val="11"/>
                <c:pt idx="0">
                  <c:v>56848.549333333343</c:v>
                </c:pt>
                <c:pt idx="1">
                  <c:v>5119.9274000000005</c:v>
                </c:pt>
                <c:pt idx="2">
                  <c:v>1811.7340079999999</c:v>
                </c:pt>
                <c:pt idx="3">
                  <c:v>22682.8779125</c:v>
                </c:pt>
                <c:pt idx="4">
                  <c:v>7989.1589999999997</c:v>
                </c:pt>
                <c:pt idx="5">
                  <c:v>5297.2157500000003</c:v>
                </c:pt>
                <c:pt idx="6">
                  <c:v>2148.9</c:v>
                </c:pt>
                <c:pt idx="7">
                  <c:v>22667.924028571426</c:v>
                </c:pt>
                <c:pt idx="8">
                  <c:v>4516.8970238095244</c:v>
                </c:pt>
                <c:pt idx="9">
                  <c:v>10209.792000000005</c:v>
                </c:pt>
                <c:pt idx="10">
                  <c:v>114394.83245149144</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printSettings>
    <c:headerFooter/>
    <c:pageMargins b="0.78740157499999996" l="0.511811024" r="0.511811024" t="0.78740157499999996" header="0.31496062000001046" footer="0.3149606200000104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Energy ouputs heating</a:t>
            </a:r>
            <a:r>
              <a:rPr lang="en-US" baseline="0"/>
              <a:t> value</a:t>
            </a:r>
            <a:endParaRPr lang="en-US"/>
          </a:p>
        </c:rich>
      </c:tx>
      <c:overlay val="0"/>
    </c:title>
    <c:autoTitleDeleted val="0"/>
    <c:plotArea>
      <c:layout/>
      <c:pieChart>
        <c:varyColors val="1"/>
        <c:ser>
          <c:idx val="0"/>
          <c:order val="0"/>
          <c:dLbls>
            <c:txPr>
              <a:bodyPr/>
              <a:lstStyle/>
              <a:p>
                <a:pPr>
                  <a:defRPr sz="1500"/>
                </a:pPr>
                <a:endParaRPr lang="en-US"/>
              </a:p>
            </c:txPr>
            <c:showLegendKey val="0"/>
            <c:showVal val="0"/>
            <c:showCatName val="1"/>
            <c:showSerName val="0"/>
            <c:showPercent val="1"/>
            <c:showBubbleSize val="0"/>
            <c:showLeaderLines val="1"/>
          </c:dLbls>
          <c:cat>
            <c:strRef>
              <c:f>Crop!$Z$31:$Z$49</c:f>
              <c:strCache>
                <c:ptCount val="19"/>
                <c:pt idx="0">
                  <c:v>Barley (gr.)</c:v>
                </c:pt>
                <c:pt idx="1">
                  <c:v>Corn (gr.)</c:v>
                </c:pt>
                <c:pt idx="2">
                  <c:v>Corn(sil.)</c:v>
                </c:pt>
                <c:pt idx="3">
                  <c:v>Rye(sil.)</c:v>
                </c:pt>
                <c:pt idx="4">
                  <c:v>Wheat (gr.)</c:v>
                </c:pt>
                <c:pt idx="5">
                  <c:v>Wheat(sil.)</c:v>
                </c:pt>
                <c:pt idx="6">
                  <c:v>Alfalfa</c:v>
                </c:pt>
                <c:pt idx="7">
                  <c:v>Red Clover</c:v>
                </c:pt>
                <c:pt idx="8">
                  <c:v>Canola</c:v>
                </c:pt>
                <c:pt idx="9">
                  <c:v>Soybean</c:v>
                </c:pt>
                <c:pt idx="10">
                  <c:v>Sugar beet</c:v>
                </c:pt>
                <c:pt idx="11">
                  <c:v>Miscanthus</c:v>
                </c:pt>
                <c:pt idx="12">
                  <c:v>Switchgrass</c:v>
                </c:pt>
                <c:pt idx="13">
                  <c:v>H. Poplar</c:v>
                </c:pt>
                <c:pt idx="14">
                  <c:v>Willow</c:v>
                </c:pt>
                <c:pt idx="15">
                  <c:v>Barley straw</c:v>
                </c:pt>
                <c:pt idx="16">
                  <c:v>Wheat straw</c:v>
                </c:pt>
                <c:pt idx="17">
                  <c:v>Corn stover</c:v>
                </c:pt>
                <c:pt idx="18">
                  <c:v>S.Beet tops</c:v>
                </c:pt>
              </c:strCache>
            </c:strRef>
          </c:cat>
          <c:val>
            <c:numRef>
              <c:f>Crop!$AA$31:$AA$49</c:f>
              <c:numCache>
                <c:formatCode>#,##0</c:formatCode>
                <c:ptCount val="19"/>
                <c:pt idx="0">
                  <c:v>0</c:v>
                </c:pt>
                <c:pt idx="1">
                  <c:v>11365588</c:v>
                </c:pt>
                <c:pt idx="2">
                  <c:v>0</c:v>
                </c:pt>
                <c:pt idx="3" formatCode="0">
                  <c:v>0</c:v>
                </c:pt>
                <c:pt idx="4">
                  <c:v>0</c:v>
                </c:pt>
                <c:pt idx="5" formatCode="0">
                  <c:v>0</c:v>
                </c:pt>
                <c:pt idx="6">
                  <c:v>0</c:v>
                </c:pt>
                <c:pt idx="7">
                  <c:v>0</c:v>
                </c:pt>
                <c:pt idx="8">
                  <c:v>0</c:v>
                </c:pt>
                <c:pt idx="9">
                  <c:v>0</c:v>
                </c:pt>
                <c:pt idx="10">
                  <c:v>0</c:v>
                </c:pt>
                <c:pt idx="11" formatCode="0">
                  <c:v>0</c:v>
                </c:pt>
                <c:pt idx="12">
                  <c:v>0</c:v>
                </c:pt>
                <c:pt idx="13">
                  <c:v>0</c:v>
                </c:pt>
                <c:pt idx="14">
                  <c:v>0</c:v>
                </c:pt>
                <c:pt idx="15" formatCode="0">
                  <c:v>0</c:v>
                </c:pt>
                <c:pt idx="16" formatCode="General">
                  <c:v>0</c:v>
                </c:pt>
                <c:pt idx="17">
                  <c:v>0</c:v>
                </c:pt>
                <c:pt idx="18" formatCode="0">
                  <c:v>0</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8740157499999996" l="0.511811024" r="0.511811024" t="0.78740157499999996" header="0.31496062000000896" footer="0.3149606200000089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Energy balance</a:t>
            </a:r>
            <a:r>
              <a:rPr lang="en-US" baseline="0"/>
              <a:t> - Higher heating value</a:t>
            </a:r>
            <a:endParaRPr lang="en-US"/>
          </a:p>
        </c:rich>
      </c:tx>
      <c:overlay val="0"/>
    </c:title>
    <c:autoTitleDeleted val="0"/>
    <c:plotArea>
      <c:layout/>
      <c:barChart>
        <c:barDir val="col"/>
        <c:grouping val="stacked"/>
        <c:varyColors val="0"/>
        <c:ser>
          <c:idx val="0"/>
          <c:order val="0"/>
          <c:tx>
            <c:strRef>
              <c:f>Crop!$AX$29</c:f>
              <c:strCache>
                <c:ptCount val="1"/>
                <c:pt idx="0">
                  <c:v>N</c:v>
                </c:pt>
              </c:strCache>
            </c:strRef>
          </c:tx>
          <c:invertIfNegative val="0"/>
          <c:cat>
            <c:strRef>
              <c:f>Crop!$AW$30:$AW$32</c:f>
              <c:strCache>
                <c:ptCount val="3"/>
                <c:pt idx="0">
                  <c:v>HHV inputs</c:v>
                </c:pt>
                <c:pt idx="1">
                  <c:v>HHV outputs</c:v>
                </c:pt>
                <c:pt idx="2">
                  <c:v>HHV net</c:v>
                </c:pt>
              </c:strCache>
            </c:strRef>
          </c:cat>
          <c:val>
            <c:numRef>
              <c:f>Crop!$AX$30:$AX$32</c:f>
              <c:numCache>
                <c:formatCode>General</c:formatCode>
                <c:ptCount val="3"/>
                <c:pt idx="0" formatCode="#,##0">
                  <c:v>7981.2756800000006</c:v>
                </c:pt>
                <c:pt idx="1">
                  <c:v>0</c:v>
                </c:pt>
                <c:pt idx="2">
                  <c:v>0</c:v>
                </c:pt>
              </c:numCache>
            </c:numRef>
          </c:val>
        </c:ser>
        <c:ser>
          <c:idx val="1"/>
          <c:order val="1"/>
          <c:tx>
            <c:strRef>
              <c:f>Crop!$AY$29</c:f>
              <c:strCache>
                <c:ptCount val="1"/>
                <c:pt idx="0">
                  <c:v>P</c:v>
                </c:pt>
              </c:strCache>
            </c:strRef>
          </c:tx>
          <c:invertIfNegative val="0"/>
          <c:cat>
            <c:strRef>
              <c:f>Crop!$AW$30:$AW$32</c:f>
              <c:strCache>
                <c:ptCount val="3"/>
                <c:pt idx="0">
                  <c:v>HHV inputs</c:v>
                </c:pt>
                <c:pt idx="1">
                  <c:v>HHV outputs</c:v>
                </c:pt>
                <c:pt idx="2">
                  <c:v>HHV net</c:v>
                </c:pt>
              </c:strCache>
            </c:strRef>
          </c:cat>
          <c:val>
            <c:numRef>
              <c:f>Crop!$AY$30:$AY$32</c:f>
              <c:numCache>
                <c:formatCode>General</c:formatCode>
                <c:ptCount val="3"/>
                <c:pt idx="0" formatCode="#,##0">
                  <c:v>578.17391333333342</c:v>
                </c:pt>
                <c:pt idx="1">
                  <c:v>0</c:v>
                </c:pt>
                <c:pt idx="2">
                  <c:v>0</c:v>
                </c:pt>
              </c:numCache>
            </c:numRef>
          </c:val>
        </c:ser>
        <c:ser>
          <c:idx val="2"/>
          <c:order val="2"/>
          <c:tx>
            <c:strRef>
              <c:f>Crop!$AZ$29</c:f>
              <c:strCache>
                <c:ptCount val="1"/>
                <c:pt idx="0">
                  <c:v>K</c:v>
                </c:pt>
              </c:strCache>
            </c:strRef>
          </c:tx>
          <c:invertIfNegative val="0"/>
          <c:cat>
            <c:strRef>
              <c:f>Crop!$AW$30:$AW$32</c:f>
              <c:strCache>
                <c:ptCount val="3"/>
                <c:pt idx="0">
                  <c:v>HHV inputs</c:v>
                </c:pt>
                <c:pt idx="1">
                  <c:v>HHV outputs</c:v>
                </c:pt>
                <c:pt idx="2">
                  <c:v>HHV net</c:v>
                </c:pt>
              </c:strCache>
            </c:strRef>
          </c:cat>
          <c:val>
            <c:numRef>
              <c:f>Crop!$AZ$30:$AZ$32</c:f>
              <c:numCache>
                <c:formatCode>General</c:formatCode>
                <c:ptCount val="3"/>
                <c:pt idx="0" formatCode="#,##0">
                  <c:v>233.53051400000001</c:v>
                </c:pt>
                <c:pt idx="1">
                  <c:v>0</c:v>
                </c:pt>
                <c:pt idx="2">
                  <c:v>0</c:v>
                </c:pt>
              </c:numCache>
            </c:numRef>
          </c:val>
        </c:ser>
        <c:ser>
          <c:idx val="3"/>
          <c:order val="3"/>
          <c:tx>
            <c:strRef>
              <c:f>Crop!$BA$29</c:f>
              <c:strCache>
                <c:ptCount val="1"/>
                <c:pt idx="0">
                  <c:v>Lime</c:v>
                </c:pt>
              </c:strCache>
            </c:strRef>
          </c:tx>
          <c:invertIfNegative val="0"/>
          <c:cat>
            <c:strRef>
              <c:f>Crop!$AW$30:$AW$32</c:f>
              <c:strCache>
                <c:ptCount val="3"/>
                <c:pt idx="0">
                  <c:v>HHV inputs</c:v>
                </c:pt>
                <c:pt idx="1">
                  <c:v>HHV outputs</c:v>
                </c:pt>
                <c:pt idx="2">
                  <c:v>HHV net</c:v>
                </c:pt>
              </c:strCache>
            </c:strRef>
          </c:cat>
          <c:val>
            <c:numRef>
              <c:f>Crop!$BA$30:$BA$32</c:f>
              <c:numCache>
                <c:formatCode>General</c:formatCode>
                <c:ptCount val="3"/>
                <c:pt idx="0" formatCode="#,##0">
                  <c:v>645.1433333333332</c:v>
                </c:pt>
                <c:pt idx="1">
                  <c:v>0</c:v>
                </c:pt>
                <c:pt idx="2">
                  <c:v>0</c:v>
                </c:pt>
              </c:numCache>
            </c:numRef>
          </c:val>
        </c:ser>
        <c:ser>
          <c:idx val="4"/>
          <c:order val="4"/>
          <c:tx>
            <c:strRef>
              <c:f>Crop!$BB$29</c:f>
              <c:strCache>
                <c:ptCount val="1"/>
                <c:pt idx="0">
                  <c:v>Seed</c:v>
                </c:pt>
              </c:strCache>
            </c:strRef>
          </c:tx>
          <c:invertIfNegative val="0"/>
          <c:cat>
            <c:strRef>
              <c:f>Crop!$AW$30:$AW$32</c:f>
              <c:strCache>
                <c:ptCount val="3"/>
                <c:pt idx="0">
                  <c:v>HHV inputs</c:v>
                </c:pt>
                <c:pt idx="1">
                  <c:v>HHV outputs</c:v>
                </c:pt>
                <c:pt idx="2">
                  <c:v>HHV net</c:v>
                </c:pt>
              </c:strCache>
            </c:strRef>
          </c:cat>
          <c:val>
            <c:numRef>
              <c:f>Crop!$BB$30:$BB$32</c:f>
              <c:numCache>
                <c:formatCode>General</c:formatCode>
                <c:ptCount val="3"/>
                <c:pt idx="0" formatCode="#,##0">
                  <c:v>951.24799642857135</c:v>
                </c:pt>
                <c:pt idx="1">
                  <c:v>0</c:v>
                </c:pt>
                <c:pt idx="2">
                  <c:v>0</c:v>
                </c:pt>
              </c:numCache>
            </c:numRef>
          </c:val>
        </c:ser>
        <c:ser>
          <c:idx val="5"/>
          <c:order val="5"/>
          <c:tx>
            <c:strRef>
              <c:f>Crop!$BC$29</c:f>
              <c:strCache>
                <c:ptCount val="1"/>
                <c:pt idx="0">
                  <c:v>Herbicide</c:v>
                </c:pt>
              </c:strCache>
            </c:strRef>
          </c:tx>
          <c:invertIfNegative val="0"/>
          <c:cat>
            <c:strRef>
              <c:f>Crop!$AW$30:$AW$32</c:f>
              <c:strCache>
                <c:ptCount val="3"/>
                <c:pt idx="0">
                  <c:v>HHV inputs</c:v>
                </c:pt>
                <c:pt idx="1">
                  <c:v>HHV outputs</c:v>
                </c:pt>
                <c:pt idx="2">
                  <c:v>HHV net</c:v>
                </c:pt>
              </c:strCache>
            </c:strRef>
          </c:cat>
          <c:val>
            <c:numRef>
              <c:f>Crop!$BC$30:$BC$32</c:f>
              <c:numCache>
                <c:formatCode>General</c:formatCode>
                <c:ptCount val="3"/>
                <c:pt idx="0" formatCode="#,##0">
                  <c:v>942.65902857142873</c:v>
                </c:pt>
                <c:pt idx="1">
                  <c:v>0</c:v>
                </c:pt>
                <c:pt idx="2">
                  <c:v>0</c:v>
                </c:pt>
              </c:numCache>
            </c:numRef>
          </c:val>
        </c:ser>
        <c:ser>
          <c:idx val="6"/>
          <c:order val="6"/>
          <c:tx>
            <c:strRef>
              <c:f>Crop!$BD$29</c:f>
              <c:strCache>
                <c:ptCount val="1"/>
                <c:pt idx="0">
                  <c:v>Insecticide</c:v>
                </c:pt>
              </c:strCache>
            </c:strRef>
          </c:tx>
          <c:invertIfNegative val="0"/>
          <c:cat>
            <c:strRef>
              <c:f>Crop!$AW$30:$AW$32</c:f>
              <c:strCache>
                <c:ptCount val="3"/>
                <c:pt idx="0">
                  <c:v>HHV inputs</c:v>
                </c:pt>
                <c:pt idx="1">
                  <c:v>HHV outputs</c:v>
                </c:pt>
                <c:pt idx="2">
                  <c:v>HHV net</c:v>
                </c:pt>
              </c:strCache>
            </c:strRef>
          </c:cat>
          <c:val>
            <c:numRef>
              <c:f>Crop!$BD$30:$BD$32</c:f>
              <c:numCache>
                <c:formatCode>General</c:formatCode>
                <c:ptCount val="3"/>
                <c:pt idx="0" formatCode="#,##0">
                  <c:v>294.20765833333337</c:v>
                </c:pt>
                <c:pt idx="1">
                  <c:v>0</c:v>
                </c:pt>
                <c:pt idx="2">
                  <c:v>0</c:v>
                </c:pt>
              </c:numCache>
            </c:numRef>
          </c:val>
        </c:ser>
        <c:ser>
          <c:idx val="7"/>
          <c:order val="7"/>
          <c:tx>
            <c:strRef>
              <c:f>Crop!$BE$29</c:f>
              <c:strCache>
                <c:ptCount val="1"/>
                <c:pt idx="0">
                  <c:v>On farm fuel use</c:v>
                </c:pt>
              </c:strCache>
            </c:strRef>
          </c:tx>
          <c:invertIfNegative val="0"/>
          <c:cat>
            <c:strRef>
              <c:f>Crop!$AW$30:$AW$32</c:f>
              <c:strCache>
                <c:ptCount val="3"/>
                <c:pt idx="0">
                  <c:v>HHV inputs</c:v>
                </c:pt>
                <c:pt idx="1">
                  <c:v>HHV outputs</c:v>
                </c:pt>
                <c:pt idx="2">
                  <c:v>HHV net</c:v>
                </c:pt>
              </c:strCache>
            </c:strRef>
          </c:cat>
          <c:val>
            <c:numRef>
              <c:f>Crop!$BE$30:$BE$32</c:f>
              <c:numCache>
                <c:formatCode>General</c:formatCode>
                <c:ptCount val="3"/>
                <c:pt idx="0" formatCode="#,##0">
                  <c:v>3076.4294000000004</c:v>
                </c:pt>
                <c:pt idx="1">
                  <c:v>0</c:v>
                </c:pt>
                <c:pt idx="2">
                  <c:v>0</c:v>
                </c:pt>
              </c:numCache>
            </c:numRef>
          </c:val>
        </c:ser>
        <c:ser>
          <c:idx val="8"/>
          <c:order val="8"/>
          <c:tx>
            <c:strRef>
              <c:f>Crop!$BF$29</c:f>
              <c:strCache>
                <c:ptCount val="1"/>
                <c:pt idx="0">
                  <c:v>Drying</c:v>
                </c:pt>
              </c:strCache>
            </c:strRef>
          </c:tx>
          <c:invertIfNegative val="0"/>
          <c:cat>
            <c:strRef>
              <c:f>Crop!$AW$30:$AW$32</c:f>
              <c:strCache>
                <c:ptCount val="3"/>
                <c:pt idx="0">
                  <c:v>HHV inputs</c:v>
                </c:pt>
                <c:pt idx="1">
                  <c:v>HHV outputs</c:v>
                </c:pt>
                <c:pt idx="2">
                  <c:v>HHV net</c:v>
                </c:pt>
              </c:strCache>
            </c:strRef>
          </c:cat>
          <c:val>
            <c:numRef>
              <c:f>Crop!$BF$30:$BF$32</c:f>
              <c:numCache>
                <c:formatCode>General</c:formatCode>
                <c:ptCount val="3"/>
                <c:pt idx="0" formatCode="#,##0">
                  <c:v>1276.2240000000006</c:v>
                </c:pt>
                <c:pt idx="1">
                  <c:v>0</c:v>
                </c:pt>
                <c:pt idx="2">
                  <c:v>0</c:v>
                </c:pt>
              </c:numCache>
            </c:numRef>
          </c:val>
        </c:ser>
        <c:ser>
          <c:idx val="9"/>
          <c:order val="9"/>
          <c:tx>
            <c:strRef>
              <c:f>Crop!$BG$29</c:f>
              <c:strCache>
                <c:ptCount val="1"/>
                <c:pt idx="0">
                  <c:v>Transp. inputs</c:v>
                </c:pt>
              </c:strCache>
            </c:strRef>
          </c:tx>
          <c:invertIfNegative val="0"/>
          <c:cat>
            <c:strRef>
              <c:f>Crop!$AW$30:$AW$32</c:f>
              <c:strCache>
                <c:ptCount val="3"/>
                <c:pt idx="0">
                  <c:v>HHV inputs</c:v>
                </c:pt>
                <c:pt idx="1">
                  <c:v>HHV outputs</c:v>
                </c:pt>
                <c:pt idx="2">
                  <c:v>HHV net</c:v>
                </c:pt>
              </c:strCache>
            </c:strRef>
          </c:cat>
          <c:val>
            <c:numRef>
              <c:f>Crop!$BG$30:$BG$32</c:f>
              <c:numCache>
                <c:formatCode>General</c:formatCode>
                <c:ptCount val="3"/>
                <c:pt idx="0" formatCode="#,##0">
                  <c:v>578.16281904761911</c:v>
                </c:pt>
                <c:pt idx="1">
                  <c:v>0</c:v>
                </c:pt>
                <c:pt idx="2">
                  <c:v>0</c:v>
                </c:pt>
              </c:numCache>
            </c:numRef>
          </c:val>
        </c:ser>
        <c:ser>
          <c:idx val="10"/>
          <c:order val="10"/>
          <c:tx>
            <c:strRef>
              <c:f>Crop!$BH$29</c:f>
              <c:strCache>
                <c:ptCount val="1"/>
                <c:pt idx="0">
                  <c:v>Barley (gr.)</c:v>
                </c:pt>
              </c:strCache>
            </c:strRef>
          </c:tx>
          <c:invertIfNegative val="0"/>
          <c:cat>
            <c:strRef>
              <c:f>Crop!$AW$30:$AW$32</c:f>
              <c:strCache>
                <c:ptCount val="3"/>
                <c:pt idx="0">
                  <c:v>HHV inputs</c:v>
                </c:pt>
                <c:pt idx="1">
                  <c:v>HHV outputs</c:v>
                </c:pt>
                <c:pt idx="2">
                  <c:v>HHV net</c:v>
                </c:pt>
              </c:strCache>
            </c:strRef>
          </c:cat>
          <c:val>
            <c:numRef>
              <c:f>Crop!$BH$30:$BH$32</c:f>
              <c:numCache>
                <c:formatCode>#,##0</c:formatCode>
                <c:ptCount val="3"/>
                <c:pt idx="0">
                  <c:v>0</c:v>
                </c:pt>
                <c:pt idx="1">
                  <c:v>0</c:v>
                </c:pt>
                <c:pt idx="2" formatCode="General">
                  <c:v>0</c:v>
                </c:pt>
              </c:numCache>
            </c:numRef>
          </c:val>
        </c:ser>
        <c:ser>
          <c:idx val="11"/>
          <c:order val="11"/>
          <c:tx>
            <c:strRef>
              <c:f>Crop!$BI$29</c:f>
              <c:strCache>
                <c:ptCount val="1"/>
                <c:pt idx="0">
                  <c:v>Corn (gr.)</c:v>
                </c:pt>
              </c:strCache>
            </c:strRef>
          </c:tx>
          <c:invertIfNegative val="0"/>
          <c:cat>
            <c:strRef>
              <c:f>Crop!$AW$30:$AW$32</c:f>
              <c:strCache>
                <c:ptCount val="3"/>
                <c:pt idx="0">
                  <c:v>HHV inputs</c:v>
                </c:pt>
                <c:pt idx="1">
                  <c:v>HHV outputs</c:v>
                </c:pt>
                <c:pt idx="2">
                  <c:v>HHV net</c:v>
                </c:pt>
              </c:strCache>
            </c:strRef>
          </c:cat>
          <c:val>
            <c:numRef>
              <c:f>Crop!$BI$30:$BI$32</c:f>
              <c:numCache>
                <c:formatCode>#,##0</c:formatCode>
                <c:ptCount val="3"/>
                <c:pt idx="0">
                  <c:v>0</c:v>
                </c:pt>
                <c:pt idx="1">
                  <c:v>-113655.88</c:v>
                </c:pt>
                <c:pt idx="2" formatCode="General">
                  <c:v>0</c:v>
                </c:pt>
              </c:numCache>
            </c:numRef>
          </c:val>
        </c:ser>
        <c:ser>
          <c:idx val="12"/>
          <c:order val="12"/>
          <c:tx>
            <c:strRef>
              <c:f>Crop!$BJ$29</c:f>
              <c:strCache>
                <c:ptCount val="1"/>
                <c:pt idx="0">
                  <c:v>Corn(sil.)</c:v>
                </c:pt>
              </c:strCache>
            </c:strRef>
          </c:tx>
          <c:invertIfNegative val="0"/>
          <c:cat>
            <c:strRef>
              <c:f>Crop!$AW$30:$AW$32</c:f>
              <c:strCache>
                <c:ptCount val="3"/>
                <c:pt idx="0">
                  <c:v>HHV inputs</c:v>
                </c:pt>
                <c:pt idx="1">
                  <c:v>HHV outputs</c:v>
                </c:pt>
                <c:pt idx="2">
                  <c:v>HHV net</c:v>
                </c:pt>
              </c:strCache>
            </c:strRef>
          </c:cat>
          <c:val>
            <c:numRef>
              <c:f>Crop!$BJ$30:$BJ$32</c:f>
              <c:numCache>
                <c:formatCode>#,##0</c:formatCode>
                <c:ptCount val="3"/>
                <c:pt idx="0">
                  <c:v>0</c:v>
                </c:pt>
                <c:pt idx="1">
                  <c:v>0</c:v>
                </c:pt>
                <c:pt idx="2" formatCode="General">
                  <c:v>0</c:v>
                </c:pt>
              </c:numCache>
            </c:numRef>
          </c:val>
        </c:ser>
        <c:ser>
          <c:idx val="13"/>
          <c:order val="13"/>
          <c:tx>
            <c:strRef>
              <c:f>Crop!$BK$29</c:f>
              <c:strCache>
                <c:ptCount val="1"/>
                <c:pt idx="0">
                  <c:v>Rye(sil.)</c:v>
                </c:pt>
              </c:strCache>
            </c:strRef>
          </c:tx>
          <c:invertIfNegative val="0"/>
          <c:cat>
            <c:strRef>
              <c:f>Crop!$AW$30:$AW$32</c:f>
              <c:strCache>
                <c:ptCount val="3"/>
                <c:pt idx="0">
                  <c:v>HHV inputs</c:v>
                </c:pt>
                <c:pt idx="1">
                  <c:v>HHV outputs</c:v>
                </c:pt>
                <c:pt idx="2">
                  <c:v>HHV net</c:v>
                </c:pt>
              </c:strCache>
            </c:strRef>
          </c:cat>
          <c:val>
            <c:numRef>
              <c:f>Crop!$BK$30:$BK$32</c:f>
              <c:numCache>
                <c:formatCode>#,##0</c:formatCode>
                <c:ptCount val="3"/>
                <c:pt idx="0">
                  <c:v>0</c:v>
                </c:pt>
                <c:pt idx="1">
                  <c:v>0</c:v>
                </c:pt>
                <c:pt idx="2" formatCode="General">
                  <c:v>0</c:v>
                </c:pt>
              </c:numCache>
            </c:numRef>
          </c:val>
        </c:ser>
        <c:ser>
          <c:idx val="14"/>
          <c:order val="14"/>
          <c:tx>
            <c:strRef>
              <c:f>Crop!$BL$29</c:f>
              <c:strCache>
                <c:ptCount val="1"/>
                <c:pt idx="0">
                  <c:v>Wheat (gr.)</c:v>
                </c:pt>
              </c:strCache>
            </c:strRef>
          </c:tx>
          <c:invertIfNegative val="0"/>
          <c:cat>
            <c:strRef>
              <c:f>Crop!$AW$30:$AW$32</c:f>
              <c:strCache>
                <c:ptCount val="3"/>
                <c:pt idx="0">
                  <c:v>HHV inputs</c:v>
                </c:pt>
                <c:pt idx="1">
                  <c:v>HHV outputs</c:v>
                </c:pt>
                <c:pt idx="2">
                  <c:v>HHV net</c:v>
                </c:pt>
              </c:strCache>
            </c:strRef>
          </c:cat>
          <c:val>
            <c:numRef>
              <c:f>Crop!$BL$30:$BL$32</c:f>
              <c:numCache>
                <c:formatCode>General</c:formatCode>
                <c:ptCount val="3"/>
                <c:pt idx="0">
                  <c:v>0</c:v>
                </c:pt>
                <c:pt idx="1">
                  <c:v>0</c:v>
                </c:pt>
                <c:pt idx="2">
                  <c:v>0</c:v>
                </c:pt>
              </c:numCache>
            </c:numRef>
          </c:val>
        </c:ser>
        <c:ser>
          <c:idx val="15"/>
          <c:order val="15"/>
          <c:tx>
            <c:strRef>
              <c:f>Crop!$BM$29</c:f>
              <c:strCache>
                <c:ptCount val="1"/>
                <c:pt idx="0">
                  <c:v>Wheat(sil.)</c:v>
                </c:pt>
              </c:strCache>
            </c:strRef>
          </c:tx>
          <c:invertIfNegative val="0"/>
          <c:cat>
            <c:strRef>
              <c:f>Crop!$AW$30:$AW$32</c:f>
              <c:strCache>
                <c:ptCount val="3"/>
                <c:pt idx="0">
                  <c:v>HHV inputs</c:v>
                </c:pt>
                <c:pt idx="1">
                  <c:v>HHV outputs</c:v>
                </c:pt>
                <c:pt idx="2">
                  <c:v>HHV net</c:v>
                </c:pt>
              </c:strCache>
            </c:strRef>
          </c:cat>
          <c:val>
            <c:numRef>
              <c:f>Crop!$BM$30:$BM$32</c:f>
              <c:numCache>
                <c:formatCode>#,##0</c:formatCode>
                <c:ptCount val="3"/>
                <c:pt idx="0">
                  <c:v>0</c:v>
                </c:pt>
                <c:pt idx="1">
                  <c:v>0</c:v>
                </c:pt>
                <c:pt idx="2" formatCode="General">
                  <c:v>0</c:v>
                </c:pt>
              </c:numCache>
            </c:numRef>
          </c:val>
        </c:ser>
        <c:ser>
          <c:idx val="16"/>
          <c:order val="16"/>
          <c:tx>
            <c:strRef>
              <c:f>Crop!$BN$29</c:f>
              <c:strCache>
                <c:ptCount val="1"/>
                <c:pt idx="0">
                  <c:v>Alfalfa</c:v>
                </c:pt>
              </c:strCache>
            </c:strRef>
          </c:tx>
          <c:invertIfNegative val="0"/>
          <c:cat>
            <c:strRef>
              <c:f>Crop!$AW$30:$AW$32</c:f>
              <c:strCache>
                <c:ptCount val="3"/>
                <c:pt idx="0">
                  <c:v>HHV inputs</c:v>
                </c:pt>
                <c:pt idx="1">
                  <c:v>HHV outputs</c:v>
                </c:pt>
                <c:pt idx="2">
                  <c:v>HHV net</c:v>
                </c:pt>
              </c:strCache>
            </c:strRef>
          </c:cat>
          <c:val>
            <c:numRef>
              <c:f>Crop!$BN$30:$BN$32</c:f>
              <c:numCache>
                <c:formatCode>#,##0</c:formatCode>
                <c:ptCount val="3"/>
                <c:pt idx="0">
                  <c:v>0</c:v>
                </c:pt>
                <c:pt idx="1">
                  <c:v>0</c:v>
                </c:pt>
                <c:pt idx="2" formatCode="General">
                  <c:v>0</c:v>
                </c:pt>
              </c:numCache>
            </c:numRef>
          </c:val>
        </c:ser>
        <c:ser>
          <c:idx val="17"/>
          <c:order val="17"/>
          <c:tx>
            <c:strRef>
              <c:f>Crop!$BO$29</c:f>
              <c:strCache>
                <c:ptCount val="1"/>
                <c:pt idx="0">
                  <c:v>Red Clover</c:v>
                </c:pt>
              </c:strCache>
            </c:strRef>
          </c:tx>
          <c:invertIfNegative val="0"/>
          <c:cat>
            <c:strRef>
              <c:f>Crop!$AW$30:$AW$32</c:f>
              <c:strCache>
                <c:ptCount val="3"/>
                <c:pt idx="0">
                  <c:v>HHV inputs</c:v>
                </c:pt>
                <c:pt idx="1">
                  <c:v>HHV outputs</c:v>
                </c:pt>
                <c:pt idx="2">
                  <c:v>HHV net</c:v>
                </c:pt>
              </c:strCache>
            </c:strRef>
          </c:cat>
          <c:val>
            <c:numRef>
              <c:f>Crop!$BO$30:$BO$32</c:f>
              <c:numCache>
                <c:formatCode>#,##0</c:formatCode>
                <c:ptCount val="3"/>
                <c:pt idx="0">
                  <c:v>0</c:v>
                </c:pt>
                <c:pt idx="1">
                  <c:v>0</c:v>
                </c:pt>
                <c:pt idx="2" formatCode="General">
                  <c:v>0</c:v>
                </c:pt>
              </c:numCache>
            </c:numRef>
          </c:val>
        </c:ser>
        <c:ser>
          <c:idx val="18"/>
          <c:order val="18"/>
          <c:tx>
            <c:strRef>
              <c:f>Crop!$BP$29</c:f>
              <c:strCache>
                <c:ptCount val="1"/>
                <c:pt idx="0">
                  <c:v>Canola</c:v>
                </c:pt>
              </c:strCache>
            </c:strRef>
          </c:tx>
          <c:invertIfNegative val="0"/>
          <c:cat>
            <c:strRef>
              <c:f>Crop!$AW$30:$AW$32</c:f>
              <c:strCache>
                <c:ptCount val="3"/>
                <c:pt idx="0">
                  <c:v>HHV inputs</c:v>
                </c:pt>
                <c:pt idx="1">
                  <c:v>HHV outputs</c:v>
                </c:pt>
                <c:pt idx="2">
                  <c:v>HHV net</c:v>
                </c:pt>
              </c:strCache>
            </c:strRef>
          </c:cat>
          <c:val>
            <c:numRef>
              <c:f>Crop!$BP$30:$BP$32</c:f>
              <c:numCache>
                <c:formatCode>#,##0</c:formatCode>
                <c:ptCount val="3"/>
                <c:pt idx="0">
                  <c:v>0</c:v>
                </c:pt>
                <c:pt idx="1">
                  <c:v>0</c:v>
                </c:pt>
                <c:pt idx="2" formatCode="General">
                  <c:v>0</c:v>
                </c:pt>
              </c:numCache>
            </c:numRef>
          </c:val>
        </c:ser>
        <c:ser>
          <c:idx val="19"/>
          <c:order val="19"/>
          <c:tx>
            <c:strRef>
              <c:f>Crop!$BQ$29</c:f>
              <c:strCache>
                <c:ptCount val="1"/>
                <c:pt idx="0">
                  <c:v>Soybean</c:v>
                </c:pt>
              </c:strCache>
            </c:strRef>
          </c:tx>
          <c:invertIfNegative val="0"/>
          <c:cat>
            <c:strRef>
              <c:f>Crop!$AW$30:$AW$32</c:f>
              <c:strCache>
                <c:ptCount val="3"/>
                <c:pt idx="0">
                  <c:v>HHV inputs</c:v>
                </c:pt>
                <c:pt idx="1">
                  <c:v>HHV outputs</c:v>
                </c:pt>
                <c:pt idx="2">
                  <c:v>HHV net</c:v>
                </c:pt>
              </c:strCache>
            </c:strRef>
          </c:cat>
          <c:val>
            <c:numRef>
              <c:f>Crop!$BQ$30:$BQ$32</c:f>
              <c:numCache>
                <c:formatCode>#,##0</c:formatCode>
                <c:ptCount val="3"/>
                <c:pt idx="0">
                  <c:v>0</c:v>
                </c:pt>
                <c:pt idx="1">
                  <c:v>0</c:v>
                </c:pt>
                <c:pt idx="2" formatCode="General">
                  <c:v>0</c:v>
                </c:pt>
              </c:numCache>
            </c:numRef>
          </c:val>
        </c:ser>
        <c:ser>
          <c:idx val="20"/>
          <c:order val="20"/>
          <c:tx>
            <c:strRef>
              <c:f>Crop!$BR$29</c:f>
              <c:strCache>
                <c:ptCount val="1"/>
                <c:pt idx="0">
                  <c:v>Sugar beet</c:v>
                </c:pt>
              </c:strCache>
            </c:strRef>
          </c:tx>
          <c:invertIfNegative val="0"/>
          <c:cat>
            <c:strRef>
              <c:f>Crop!$AW$30:$AW$32</c:f>
              <c:strCache>
                <c:ptCount val="3"/>
                <c:pt idx="0">
                  <c:v>HHV inputs</c:v>
                </c:pt>
                <c:pt idx="1">
                  <c:v>HHV outputs</c:v>
                </c:pt>
                <c:pt idx="2">
                  <c:v>HHV net</c:v>
                </c:pt>
              </c:strCache>
            </c:strRef>
          </c:cat>
          <c:val>
            <c:numRef>
              <c:f>Crop!$BR$30:$BR$32</c:f>
              <c:numCache>
                <c:formatCode>#,##0</c:formatCode>
                <c:ptCount val="3"/>
                <c:pt idx="0">
                  <c:v>0</c:v>
                </c:pt>
                <c:pt idx="1">
                  <c:v>0</c:v>
                </c:pt>
                <c:pt idx="2" formatCode="General">
                  <c:v>0</c:v>
                </c:pt>
              </c:numCache>
            </c:numRef>
          </c:val>
        </c:ser>
        <c:ser>
          <c:idx val="21"/>
          <c:order val="21"/>
          <c:tx>
            <c:strRef>
              <c:f>Crop!$BS$29</c:f>
              <c:strCache>
                <c:ptCount val="1"/>
                <c:pt idx="0">
                  <c:v>Miscanthus</c:v>
                </c:pt>
              </c:strCache>
            </c:strRef>
          </c:tx>
          <c:invertIfNegative val="0"/>
          <c:cat>
            <c:strRef>
              <c:f>Crop!$AW$30:$AW$32</c:f>
              <c:strCache>
                <c:ptCount val="3"/>
                <c:pt idx="0">
                  <c:v>HHV inputs</c:v>
                </c:pt>
                <c:pt idx="1">
                  <c:v>HHV outputs</c:v>
                </c:pt>
                <c:pt idx="2">
                  <c:v>HHV net</c:v>
                </c:pt>
              </c:strCache>
            </c:strRef>
          </c:cat>
          <c:val>
            <c:numRef>
              <c:f>Crop!$BS$30:$BS$32</c:f>
              <c:numCache>
                <c:formatCode>#,##0</c:formatCode>
                <c:ptCount val="3"/>
                <c:pt idx="0">
                  <c:v>0</c:v>
                </c:pt>
                <c:pt idx="1">
                  <c:v>0</c:v>
                </c:pt>
                <c:pt idx="2" formatCode="General">
                  <c:v>0</c:v>
                </c:pt>
              </c:numCache>
            </c:numRef>
          </c:val>
        </c:ser>
        <c:ser>
          <c:idx val="22"/>
          <c:order val="22"/>
          <c:tx>
            <c:strRef>
              <c:f>Crop!$BT$29</c:f>
              <c:strCache>
                <c:ptCount val="1"/>
                <c:pt idx="0">
                  <c:v>Switchgrass</c:v>
                </c:pt>
              </c:strCache>
            </c:strRef>
          </c:tx>
          <c:invertIfNegative val="0"/>
          <c:cat>
            <c:strRef>
              <c:f>Crop!$AW$30:$AW$32</c:f>
              <c:strCache>
                <c:ptCount val="3"/>
                <c:pt idx="0">
                  <c:v>HHV inputs</c:v>
                </c:pt>
                <c:pt idx="1">
                  <c:v>HHV outputs</c:v>
                </c:pt>
                <c:pt idx="2">
                  <c:v>HHV net</c:v>
                </c:pt>
              </c:strCache>
            </c:strRef>
          </c:cat>
          <c:val>
            <c:numRef>
              <c:f>Crop!$BT$30:$BT$32</c:f>
              <c:numCache>
                <c:formatCode>#,##0</c:formatCode>
                <c:ptCount val="3"/>
                <c:pt idx="0">
                  <c:v>0</c:v>
                </c:pt>
                <c:pt idx="1">
                  <c:v>0</c:v>
                </c:pt>
                <c:pt idx="2" formatCode="General">
                  <c:v>0</c:v>
                </c:pt>
              </c:numCache>
            </c:numRef>
          </c:val>
        </c:ser>
        <c:ser>
          <c:idx val="23"/>
          <c:order val="23"/>
          <c:tx>
            <c:strRef>
              <c:f>Crop!$BU$29</c:f>
              <c:strCache>
                <c:ptCount val="1"/>
                <c:pt idx="0">
                  <c:v>H. Poplar</c:v>
                </c:pt>
              </c:strCache>
            </c:strRef>
          </c:tx>
          <c:invertIfNegative val="0"/>
          <c:cat>
            <c:strRef>
              <c:f>Crop!$AW$30:$AW$32</c:f>
              <c:strCache>
                <c:ptCount val="3"/>
                <c:pt idx="0">
                  <c:v>HHV inputs</c:v>
                </c:pt>
                <c:pt idx="1">
                  <c:v>HHV outputs</c:v>
                </c:pt>
                <c:pt idx="2">
                  <c:v>HHV net</c:v>
                </c:pt>
              </c:strCache>
            </c:strRef>
          </c:cat>
          <c:val>
            <c:numRef>
              <c:f>Crop!$BU$30:$BU$32</c:f>
              <c:numCache>
                <c:formatCode>General</c:formatCode>
                <c:ptCount val="3"/>
                <c:pt idx="0">
                  <c:v>0</c:v>
                </c:pt>
                <c:pt idx="1">
                  <c:v>0</c:v>
                </c:pt>
                <c:pt idx="2">
                  <c:v>0</c:v>
                </c:pt>
              </c:numCache>
            </c:numRef>
          </c:val>
        </c:ser>
        <c:ser>
          <c:idx val="24"/>
          <c:order val="24"/>
          <c:tx>
            <c:strRef>
              <c:f>Crop!$BV$29</c:f>
              <c:strCache>
                <c:ptCount val="1"/>
                <c:pt idx="0">
                  <c:v>Willow</c:v>
                </c:pt>
              </c:strCache>
            </c:strRef>
          </c:tx>
          <c:invertIfNegative val="0"/>
          <c:cat>
            <c:strRef>
              <c:f>Crop!$AW$30:$AW$32</c:f>
              <c:strCache>
                <c:ptCount val="3"/>
                <c:pt idx="0">
                  <c:v>HHV inputs</c:v>
                </c:pt>
                <c:pt idx="1">
                  <c:v>HHV outputs</c:v>
                </c:pt>
                <c:pt idx="2">
                  <c:v>HHV net</c:v>
                </c:pt>
              </c:strCache>
            </c:strRef>
          </c:cat>
          <c:val>
            <c:numRef>
              <c:f>Crop!$BV$30:$BV$32</c:f>
              <c:numCache>
                <c:formatCode>#,##0</c:formatCode>
                <c:ptCount val="3"/>
                <c:pt idx="0">
                  <c:v>0</c:v>
                </c:pt>
                <c:pt idx="1">
                  <c:v>0</c:v>
                </c:pt>
                <c:pt idx="2" formatCode="General">
                  <c:v>0</c:v>
                </c:pt>
              </c:numCache>
            </c:numRef>
          </c:val>
        </c:ser>
        <c:ser>
          <c:idx val="25"/>
          <c:order val="25"/>
          <c:tx>
            <c:strRef>
              <c:f>Crop!$BW$29</c:f>
              <c:strCache>
                <c:ptCount val="1"/>
                <c:pt idx="0">
                  <c:v>Barley straw</c:v>
                </c:pt>
              </c:strCache>
            </c:strRef>
          </c:tx>
          <c:invertIfNegative val="0"/>
          <c:cat>
            <c:strRef>
              <c:f>Crop!$AW$30:$AW$32</c:f>
              <c:strCache>
                <c:ptCount val="3"/>
                <c:pt idx="0">
                  <c:v>HHV inputs</c:v>
                </c:pt>
                <c:pt idx="1">
                  <c:v>HHV outputs</c:v>
                </c:pt>
                <c:pt idx="2">
                  <c:v>HHV net</c:v>
                </c:pt>
              </c:strCache>
            </c:strRef>
          </c:cat>
          <c:val>
            <c:numRef>
              <c:f>Crop!$BW$30:$BW$32</c:f>
              <c:numCache>
                <c:formatCode>#,##0</c:formatCode>
                <c:ptCount val="3"/>
                <c:pt idx="0">
                  <c:v>0</c:v>
                </c:pt>
                <c:pt idx="1">
                  <c:v>0</c:v>
                </c:pt>
                <c:pt idx="2" formatCode="General">
                  <c:v>0</c:v>
                </c:pt>
              </c:numCache>
            </c:numRef>
          </c:val>
        </c:ser>
        <c:ser>
          <c:idx val="26"/>
          <c:order val="26"/>
          <c:tx>
            <c:strRef>
              <c:f>Crop!$BX$29</c:f>
              <c:strCache>
                <c:ptCount val="1"/>
                <c:pt idx="0">
                  <c:v>Wheat straw</c:v>
                </c:pt>
              </c:strCache>
            </c:strRef>
          </c:tx>
          <c:invertIfNegative val="0"/>
          <c:cat>
            <c:strRef>
              <c:f>Crop!$AW$30:$AW$32</c:f>
              <c:strCache>
                <c:ptCount val="3"/>
                <c:pt idx="0">
                  <c:v>HHV inputs</c:v>
                </c:pt>
                <c:pt idx="1">
                  <c:v>HHV outputs</c:v>
                </c:pt>
                <c:pt idx="2">
                  <c:v>HHV net</c:v>
                </c:pt>
              </c:strCache>
            </c:strRef>
          </c:cat>
          <c:val>
            <c:numRef>
              <c:f>Crop!$BX$30:$BX$32</c:f>
              <c:numCache>
                <c:formatCode>General</c:formatCode>
                <c:ptCount val="3"/>
                <c:pt idx="0">
                  <c:v>0</c:v>
                </c:pt>
                <c:pt idx="1">
                  <c:v>0</c:v>
                </c:pt>
                <c:pt idx="2">
                  <c:v>0</c:v>
                </c:pt>
              </c:numCache>
            </c:numRef>
          </c:val>
        </c:ser>
        <c:ser>
          <c:idx val="27"/>
          <c:order val="27"/>
          <c:tx>
            <c:strRef>
              <c:f>Crop!$BY$29</c:f>
              <c:strCache>
                <c:ptCount val="1"/>
                <c:pt idx="0">
                  <c:v>Corn stover</c:v>
                </c:pt>
              </c:strCache>
            </c:strRef>
          </c:tx>
          <c:invertIfNegative val="0"/>
          <c:cat>
            <c:strRef>
              <c:f>Crop!$AW$30:$AW$32</c:f>
              <c:strCache>
                <c:ptCount val="3"/>
                <c:pt idx="0">
                  <c:v>HHV inputs</c:v>
                </c:pt>
                <c:pt idx="1">
                  <c:v>HHV outputs</c:v>
                </c:pt>
                <c:pt idx="2">
                  <c:v>HHV net</c:v>
                </c:pt>
              </c:strCache>
            </c:strRef>
          </c:cat>
          <c:val>
            <c:numRef>
              <c:f>Crop!$BY$30:$BY$32</c:f>
              <c:numCache>
                <c:formatCode>#,##0</c:formatCode>
                <c:ptCount val="3"/>
                <c:pt idx="0">
                  <c:v>0</c:v>
                </c:pt>
                <c:pt idx="1">
                  <c:v>0</c:v>
                </c:pt>
                <c:pt idx="2" formatCode="General">
                  <c:v>0</c:v>
                </c:pt>
              </c:numCache>
            </c:numRef>
          </c:val>
        </c:ser>
        <c:ser>
          <c:idx val="28"/>
          <c:order val="28"/>
          <c:tx>
            <c:strRef>
              <c:f>Crop!$BZ$29</c:f>
              <c:strCache>
                <c:ptCount val="1"/>
                <c:pt idx="0">
                  <c:v>S.Beet tops</c:v>
                </c:pt>
              </c:strCache>
            </c:strRef>
          </c:tx>
          <c:invertIfNegative val="0"/>
          <c:cat>
            <c:strRef>
              <c:f>Crop!$AW$30:$AW$32</c:f>
              <c:strCache>
                <c:ptCount val="3"/>
                <c:pt idx="0">
                  <c:v>HHV inputs</c:v>
                </c:pt>
                <c:pt idx="1">
                  <c:v>HHV outputs</c:v>
                </c:pt>
                <c:pt idx="2">
                  <c:v>HHV net</c:v>
                </c:pt>
              </c:strCache>
            </c:strRef>
          </c:cat>
          <c:val>
            <c:numRef>
              <c:f>Crop!$BZ$30:$BZ$32</c:f>
              <c:numCache>
                <c:formatCode>#,##0</c:formatCode>
                <c:ptCount val="3"/>
                <c:pt idx="0">
                  <c:v>0</c:v>
                </c:pt>
                <c:pt idx="1">
                  <c:v>0</c:v>
                </c:pt>
                <c:pt idx="2" formatCode="General">
                  <c:v>0</c:v>
                </c:pt>
              </c:numCache>
            </c:numRef>
          </c:val>
        </c:ser>
        <c:ser>
          <c:idx val="29"/>
          <c:order val="29"/>
          <c:tx>
            <c:strRef>
              <c:f>Crop!$CA$29</c:f>
              <c:strCache>
                <c:ptCount val="1"/>
                <c:pt idx="0">
                  <c:v>Net</c:v>
                </c:pt>
              </c:strCache>
            </c:strRef>
          </c:tx>
          <c:invertIfNegative val="0"/>
          <c:cat>
            <c:strRef>
              <c:f>Crop!$AW$30:$AW$32</c:f>
              <c:strCache>
                <c:ptCount val="3"/>
                <c:pt idx="0">
                  <c:v>HHV inputs</c:v>
                </c:pt>
                <c:pt idx="1">
                  <c:v>HHV outputs</c:v>
                </c:pt>
                <c:pt idx="2">
                  <c:v>HHV net</c:v>
                </c:pt>
              </c:strCache>
            </c:strRef>
          </c:cat>
          <c:val>
            <c:numRef>
              <c:f>Crop!$CA$30:$CA$32</c:f>
              <c:numCache>
                <c:formatCode>General</c:formatCode>
                <c:ptCount val="3"/>
                <c:pt idx="0" formatCode="#,##0">
                  <c:v>0</c:v>
                </c:pt>
                <c:pt idx="1">
                  <c:v>0</c:v>
                </c:pt>
                <c:pt idx="2" formatCode="#,##0">
                  <c:v>-97098.82565695238</c:v>
                </c:pt>
              </c:numCache>
            </c:numRef>
          </c:val>
        </c:ser>
        <c:dLbls>
          <c:showLegendKey val="0"/>
          <c:showVal val="0"/>
          <c:showCatName val="0"/>
          <c:showSerName val="0"/>
          <c:showPercent val="0"/>
          <c:showBubbleSize val="0"/>
        </c:dLbls>
        <c:gapWidth val="55"/>
        <c:overlap val="100"/>
        <c:axId val="182464512"/>
        <c:axId val="182466432"/>
      </c:barChart>
      <c:catAx>
        <c:axId val="182464512"/>
        <c:scaling>
          <c:orientation val="minMax"/>
        </c:scaling>
        <c:delete val="0"/>
        <c:axPos val="b"/>
        <c:majorTickMark val="none"/>
        <c:minorTickMark val="none"/>
        <c:tickLblPos val="nextTo"/>
        <c:txPr>
          <a:bodyPr/>
          <a:lstStyle/>
          <a:p>
            <a:pPr>
              <a:defRPr sz="1400"/>
            </a:pPr>
            <a:endParaRPr lang="en-US"/>
          </a:p>
        </c:txPr>
        <c:crossAx val="182466432"/>
        <c:crosses val="autoZero"/>
        <c:auto val="1"/>
        <c:lblAlgn val="ctr"/>
        <c:lblOffset val="100"/>
        <c:noMultiLvlLbl val="0"/>
      </c:catAx>
      <c:valAx>
        <c:axId val="182466432"/>
        <c:scaling>
          <c:orientation val="minMax"/>
        </c:scaling>
        <c:delete val="0"/>
        <c:axPos val="l"/>
        <c:majorGridlines/>
        <c:title>
          <c:tx>
            <c:rich>
              <a:bodyPr rot="-5400000" vert="horz"/>
              <a:lstStyle/>
              <a:p>
                <a:pPr>
                  <a:defRPr sz="1400"/>
                </a:pPr>
                <a:r>
                  <a:rPr lang="en-US" sz="1400"/>
                  <a:t>Energy (MJ ha-1)</a:t>
                </a:r>
              </a:p>
            </c:rich>
          </c:tx>
          <c:overlay val="0"/>
        </c:title>
        <c:numFmt formatCode="#,##0" sourceLinked="1"/>
        <c:majorTickMark val="none"/>
        <c:minorTickMark val="none"/>
        <c:tickLblPos val="nextTo"/>
        <c:crossAx val="182464512"/>
        <c:crosses val="autoZero"/>
        <c:crossBetween val="between"/>
      </c:valAx>
    </c:plotArea>
    <c:legend>
      <c:legendPos val="r"/>
      <c:overlay val="0"/>
      <c:txPr>
        <a:bodyPr/>
        <a:lstStyle/>
        <a:p>
          <a:pPr>
            <a:defRPr sz="1200"/>
          </a:pPr>
          <a:endParaRPr lang="en-US"/>
        </a:p>
      </c:txPr>
    </c:legend>
    <c:plotVisOnly val="1"/>
    <c:dispBlanksAs val="gap"/>
    <c:showDLblsOverMax val="0"/>
  </c:chart>
  <c:printSettings>
    <c:headerFooter/>
    <c:pageMargins b="0.78740157499999996" l="0.511811024" r="0.511811024" t="0.78740157499999996" header="0.31496062000000546" footer="0.3149606200000054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4698293</xdr:colOff>
      <xdr:row>0</xdr:row>
      <xdr:rowOff>113366</xdr:rowOff>
    </xdr:from>
    <xdr:to>
      <xdr:col>2</xdr:col>
      <xdr:colOff>120014</xdr:colOff>
      <xdr:row>8</xdr:row>
      <xdr:rowOff>13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98293" y="113366"/>
          <a:ext cx="1570638" cy="14953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124045</xdr:colOff>
      <xdr:row>83</xdr:row>
      <xdr:rowOff>115477</xdr:rowOff>
    </xdr:from>
    <xdr:to>
      <xdr:col>44</xdr:col>
      <xdr:colOff>619125</xdr:colOff>
      <xdr:row>121</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30</xdr:col>
      <xdr:colOff>504497</xdr:colOff>
      <xdr:row>27</xdr:row>
      <xdr:rowOff>45924</xdr:rowOff>
    </xdr:from>
    <xdr:to>
      <xdr:col>44</xdr:col>
      <xdr:colOff>836840</xdr:colOff>
      <xdr:row>66</xdr:row>
      <xdr:rowOff>15875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48</xdr:col>
      <xdr:colOff>130970</xdr:colOff>
      <xdr:row>32</xdr:row>
      <xdr:rowOff>43657</xdr:rowOff>
    </xdr:from>
    <xdr:to>
      <xdr:col>64</xdr:col>
      <xdr:colOff>23812</xdr:colOff>
      <xdr:row>80</xdr:row>
      <xdr:rowOff>47624</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59"/>
  <sheetViews>
    <sheetView showGridLines="0" zoomScale="80" zoomScaleNormal="80" workbookViewId="0"/>
  </sheetViews>
  <sheetFormatPr defaultRowHeight="15" x14ac:dyDescent="0.25"/>
  <cols>
    <col min="1" max="1" width="83" style="1" customWidth="1"/>
    <col min="11" max="11" width="24.5703125" customWidth="1"/>
  </cols>
  <sheetData>
    <row r="1" spans="1:12" ht="23.25" x14ac:dyDescent="0.35">
      <c r="A1" s="159" t="s">
        <v>695</v>
      </c>
      <c r="B1" s="182"/>
      <c r="C1" s="182"/>
    </row>
    <row r="2" spans="1:12" ht="13.5" customHeight="1" x14ac:dyDescent="0.35">
      <c r="A2" s="314" t="s">
        <v>696</v>
      </c>
      <c r="B2" s="182"/>
      <c r="C2" s="182"/>
    </row>
    <row r="3" spans="1:12" x14ac:dyDescent="0.25">
      <c r="A3" s="317">
        <v>41223</v>
      </c>
    </row>
    <row r="4" spans="1:12" s="71" customFormat="1" x14ac:dyDescent="0.25">
      <c r="A4" s="315"/>
    </row>
    <row r="5" spans="1:12" x14ac:dyDescent="0.25">
      <c r="A5" s="50" t="s">
        <v>697</v>
      </c>
      <c r="K5" s="2"/>
    </row>
    <row r="6" spans="1:12" x14ac:dyDescent="0.25">
      <c r="A6" s="13" t="s">
        <v>1009</v>
      </c>
      <c r="B6" s="8"/>
      <c r="C6" s="8"/>
      <c r="D6" s="8"/>
      <c r="E6" s="8"/>
      <c r="F6" s="8"/>
      <c r="K6" s="2"/>
    </row>
    <row r="7" spans="1:12" s="71" customFormat="1" x14ac:dyDescent="0.25">
      <c r="A7" s="71" t="s">
        <v>1256</v>
      </c>
    </row>
    <row r="8" spans="1:12" s="71" customFormat="1" x14ac:dyDescent="0.25">
      <c r="A8" s="13"/>
      <c r="B8" s="8"/>
      <c r="C8" s="8"/>
    </row>
    <row r="9" spans="1:12" s="71" customFormat="1" ht="15.75" thickBot="1" x14ac:dyDescent="0.3">
      <c r="A9" s="1"/>
    </row>
    <row r="10" spans="1:12" s="71" customFormat="1" x14ac:dyDescent="0.25">
      <c r="A10" s="316" t="s">
        <v>702</v>
      </c>
      <c r="B10" s="29"/>
      <c r="C10" s="29"/>
      <c r="D10" s="29"/>
      <c r="E10" s="29"/>
      <c r="F10" s="29"/>
      <c r="G10" s="29"/>
      <c r="H10" s="29"/>
      <c r="I10" s="29"/>
      <c r="J10" s="30"/>
      <c r="K10" s="13"/>
      <c r="L10" s="417"/>
    </row>
    <row r="11" spans="1:12" s="71" customFormat="1" x14ac:dyDescent="0.25">
      <c r="A11" s="101" t="s">
        <v>698</v>
      </c>
      <c r="B11" s="97" t="s">
        <v>699</v>
      </c>
      <c r="C11" s="10"/>
      <c r="D11" s="10"/>
      <c r="E11" s="10"/>
      <c r="F11" s="10"/>
      <c r="G11" s="10"/>
      <c r="H11" s="10"/>
      <c r="I11" s="10"/>
      <c r="J11" s="26"/>
      <c r="K11" s="13"/>
      <c r="L11" s="417"/>
    </row>
    <row r="12" spans="1:12" s="71" customFormat="1" x14ac:dyDescent="0.25">
      <c r="A12" s="48" t="s">
        <v>700</v>
      </c>
      <c r="B12" s="10" t="s">
        <v>703</v>
      </c>
      <c r="C12" s="10"/>
      <c r="D12" s="10"/>
      <c r="E12" s="10"/>
      <c r="F12" s="10"/>
      <c r="G12" s="10"/>
      <c r="H12" s="10"/>
      <c r="I12" s="10"/>
      <c r="J12" s="26"/>
      <c r="K12" s="13"/>
      <c r="L12" s="417"/>
    </row>
    <row r="13" spans="1:12" s="71" customFormat="1" x14ac:dyDescent="0.25">
      <c r="A13" s="48" t="s">
        <v>580</v>
      </c>
      <c r="B13" s="10" t="s">
        <v>704</v>
      </c>
      <c r="C13" s="10"/>
      <c r="D13" s="10"/>
      <c r="E13" s="10"/>
      <c r="F13" s="10"/>
      <c r="G13" s="10"/>
      <c r="H13" s="10"/>
      <c r="I13" s="10"/>
      <c r="J13" s="26"/>
      <c r="K13" s="13"/>
      <c r="L13" s="417"/>
    </row>
    <row r="14" spans="1:12" s="71" customFormat="1" x14ac:dyDescent="0.25">
      <c r="A14" s="48" t="s">
        <v>701</v>
      </c>
      <c r="B14" s="10" t="s">
        <v>705</v>
      </c>
      <c r="C14" s="10"/>
      <c r="D14" s="10"/>
      <c r="E14" s="10"/>
      <c r="F14" s="10"/>
      <c r="G14" s="10"/>
      <c r="H14" s="10"/>
      <c r="I14" s="10"/>
      <c r="J14" s="26"/>
      <c r="K14" s="13"/>
      <c r="L14" s="417"/>
    </row>
    <row r="15" spans="1:12" s="71" customFormat="1" x14ac:dyDescent="0.25">
      <c r="A15" s="48" t="s">
        <v>722</v>
      </c>
      <c r="B15" s="10" t="s">
        <v>706</v>
      </c>
      <c r="C15" s="10"/>
      <c r="D15" s="10"/>
      <c r="E15" s="10"/>
      <c r="F15" s="10"/>
      <c r="G15" s="10"/>
      <c r="H15" s="10"/>
      <c r="I15" s="10"/>
      <c r="J15" s="26"/>
      <c r="K15" s="13"/>
      <c r="L15" s="417"/>
    </row>
    <row r="16" spans="1:12" s="71" customFormat="1" x14ac:dyDescent="0.25">
      <c r="A16" s="48" t="s">
        <v>723</v>
      </c>
      <c r="B16" s="10" t="s">
        <v>707</v>
      </c>
      <c r="C16" s="10"/>
      <c r="D16" s="10"/>
      <c r="E16" s="10"/>
      <c r="F16" s="10"/>
      <c r="G16" s="10"/>
      <c r="H16" s="10"/>
      <c r="I16" s="10"/>
      <c r="J16" s="26"/>
      <c r="K16" s="13"/>
      <c r="L16" s="417"/>
    </row>
    <row r="17" spans="1:12" s="71" customFormat="1" x14ac:dyDescent="0.25">
      <c r="A17" s="48" t="s">
        <v>724</v>
      </c>
      <c r="B17" s="10" t="s">
        <v>708</v>
      </c>
      <c r="C17" s="10"/>
      <c r="D17" s="10"/>
      <c r="E17" s="10"/>
      <c r="F17" s="10"/>
      <c r="G17" s="10"/>
      <c r="H17" s="10"/>
      <c r="I17" s="10"/>
      <c r="J17" s="26"/>
      <c r="K17" s="13"/>
      <c r="L17" s="417"/>
    </row>
    <row r="18" spans="1:12" s="71" customFormat="1" x14ac:dyDescent="0.25">
      <c r="A18" s="48" t="s">
        <v>725</v>
      </c>
      <c r="B18" s="10" t="s">
        <v>709</v>
      </c>
      <c r="C18" s="10"/>
      <c r="D18" s="10"/>
      <c r="E18" s="10"/>
      <c r="F18" s="10"/>
      <c r="G18" s="10"/>
      <c r="H18" s="10"/>
      <c r="I18" s="10"/>
      <c r="J18" s="26"/>
      <c r="K18" s="13"/>
      <c r="L18" s="417"/>
    </row>
    <row r="19" spans="1:12" s="71" customFormat="1" x14ac:dyDescent="0.25">
      <c r="A19" s="48" t="s">
        <v>726</v>
      </c>
      <c r="B19" s="10" t="s">
        <v>710</v>
      </c>
      <c r="C19" s="10"/>
      <c r="D19" s="10"/>
      <c r="E19" s="10"/>
      <c r="F19" s="10"/>
      <c r="G19" s="10"/>
      <c r="H19" s="10"/>
      <c r="I19" s="10"/>
      <c r="J19" s="26"/>
      <c r="K19" s="418"/>
      <c r="L19" s="417"/>
    </row>
    <row r="20" spans="1:12" s="71" customFormat="1" x14ac:dyDescent="0.25">
      <c r="A20" s="48" t="s">
        <v>727</v>
      </c>
      <c r="B20" s="10" t="s">
        <v>711</v>
      </c>
      <c r="C20" s="10"/>
      <c r="D20" s="10"/>
      <c r="E20" s="10"/>
      <c r="F20" s="10"/>
      <c r="G20" s="10"/>
      <c r="H20" s="10"/>
      <c r="I20" s="10"/>
      <c r="J20" s="26"/>
    </row>
    <row r="21" spans="1:12" s="71" customFormat="1" x14ac:dyDescent="0.25">
      <c r="A21" s="48" t="s">
        <v>728</v>
      </c>
      <c r="B21" s="10" t="s">
        <v>712</v>
      </c>
      <c r="C21" s="10"/>
      <c r="D21" s="10"/>
      <c r="E21" s="10"/>
      <c r="F21" s="10"/>
      <c r="G21" s="10"/>
      <c r="H21" s="10"/>
      <c r="I21" s="10"/>
      <c r="J21" s="26"/>
    </row>
    <row r="22" spans="1:12" s="71" customFormat="1" x14ac:dyDescent="0.25">
      <c r="A22" s="48" t="s">
        <v>729</v>
      </c>
      <c r="B22" s="10" t="s">
        <v>713</v>
      </c>
      <c r="C22" s="10"/>
      <c r="D22" s="10"/>
      <c r="E22" s="10"/>
      <c r="F22" s="10"/>
      <c r="G22" s="10"/>
      <c r="H22" s="10"/>
      <c r="I22" s="10"/>
      <c r="J22" s="26"/>
    </row>
    <row r="23" spans="1:12" s="71" customFormat="1" x14ac:dyDescent="0.25">
      <c r="A23" s="48" t="s">
        <v>730</v>
      </c>
      <c r="B23" s="10" t="s">
        <v>714</v>
      </c>
      <c r="C23" s="10"/>
      <c r="D23" s="10"/>
      <c r="E23" s="10"/>
      <c r="F23" s="10"/>
      <c r="G23" s="10"/>
      <c r="H23" s="10"/>
      <c r="I23" s="10"/>
      <c r="J23" s="26"/>
    </row>
    <row r="24" spans="1:12" s="71" customFormat="1" x14ac:dyDescent="0.25">
      <c r="A24" s="48" t="s">
        <v>731</v>
      </c>
      <c r="B24" s="10" t="s">
        <v>715</v>
      </c>
      <c r="C24" s="10"/>
      <c r="D24" s="10"/>
      <c r="E24" s="10"/>
      <c r="F24" s="10"/>
      <c r="G24" s="10"/>
      <c r="H24" s="10"/>
      <c r="I24" s="10"/>
      <c r="J24" s="26"/>
    </row>
    <row r="25" spans="1:12" s="71" customFormat="1" x14ac:dyDescent="0.25">
      <c r="A25" s="48" t="s">
        <v>732</v>
      </c>
      <c r="B25" s="10" t="s">
        <v>716</v>
      </c>
      <c r="C25" s="10"/>
      <c r="D25" s="10"/>
      <c r="E25" s="10"/>
      <c r="F25" s="10"/>
      <c r="G25" s="10"/>
      <c r="H25" s="10"/>
      <c r="I25" s="10"/>
      <c r="J25" s="26"/>
    </row>
    <row r="26" spans="1:12" s="71" customFormat="1" x14ac:dyDescent="0.25">
      <c r="A26" s="48" t="s">
        <v>733</v>
      </c>
      <c r="B26" s="10" t="s">
        <v>717</v>
      </c>
      <c r="C26" s="10"/>
      <c r="D26" s="10"/>
      <c r="E26" s="10"/>
      <c r="F26" s="10"/>
      <c r="G26" s="10"/>
      <c r="H26" s="10"/>
      <c r="I26" s="10"/>
      <c r="J26" s="26"/>
    </row>
    <row r="27" spans="1:12" s="71" customFormat="1" x14ac:dyDescent="0.25">
      <c r="A27" s="48" t="s">
        <v>734</v>
      </c>
      <c r="B27" s="10" t="s">
        <v>718</v>
      </c>
      <c r="C27" s="10"/>
      <c r="D27" s="10"/>
      <c r="E27" s="10"/>
      <c r="F27" s="10"/>
      <c r="G27" s="10"/>
      <c r="H27" s="10"/>
      <c r="I27" s="10"/>
      <c r="J27" s="26"/>
    </row>
    <row r="28" spans="1:12" s="71" customFormat="1" x14ac:dyDescent="0.25">
      <c r="A28" s="48" t="s">
        <v>735</v>
      </c>
      <c r="B28" s="10" t="s">
        <v>719</v>
      </c>
      <c r="C28" s="10"/>
      <c r="D28" s="10"/>
      <c r="E28" s="10"/>
      <c r="F28" s="10"/>
      <c r="G28" s="10"/>
      <c r="H28" s="10"/>
      <c r="I28" s="10"/>
      <c r="J28" s="26"/>
    </row>
    <row r="29" spans="1:12" s="71" customFormat="1" ht="15.75" thickBot="1" x14ac:dyDescent="0.3">
      <c r="A29" s="89" t="s">
        <v>736</v>
      </c>
      <c r="B29" s="31" t="s">
        <v>720</v>
      </c>
      <c r="C29" s="31"/>
      <c r="D29" s="31"/>
      <c r="E29" s="31"/>
      <c r="F29" s="31"/>
      <c r="G29" s="31"/>
      <c r="H29" s="31"/>
      <c r="I29" s="31"/>
      <c r="J29" s="28"/>
    </row>
    <row r="30" spans="1:12" s="71" customFormat="1" x14ac:dyDescent="0.25">
      <c r="A30" s="318" t="s">
        <v>721</v>
      </c>
      <c r="B30" s="7"/>
      <c r="C30" s="7"/>
      <c r="D30" s="7"/>
      <c r="E30" s="7"/>
      <c r="F30" s="7"/>
      <c r="G30" s="7"/>
      <c r="H30" s="7"/>
      <c r="I30" s="7"/>
    </row>
    <row r="31" spans="1:12" s="71" customFormat="1" x14ac:dyDescent="0.25">
      <c r="A31" s="319" t="s">
        <v>542</v>
      </c>
      <c r="B31" s="80"/>
      <c r="C31" s="80"/>
      <c r="D31" s="80"/>
      <c r="E31" s="80"/>
      <c r="F31" s="80"/>
      <c r="G31" s="80"/>
      <c r="H31" s="80"/>
      <c r="I31" s="80"/>
      <c r="J31" s="8"/>
      <c r="K31" s="8"/>
      <c r="L31" s="8"/>
    </row>
    <row r="32" spans="1:12" s="71" customFormat="1" x14ac:dyDescent="0.25">
      <c r="A32" s="53"/>
      <c r="B32" s="8"/>
      <c r="C32" s="8"/>
      <c r="D32" s="8"/>
      <c r="E32" s="8"/>
      <c r="F32" s="8"/>
      <c r="G32" s="8"/>
      <c r="H32" s="8"/>
      <c r="I32" s="8"/>
      <c r="J32" s="8"/>
      <c r="K32" s="8"/>
      <c r="L32" s="8"/>
    </row>
    <row r="33" spans="1:12" s="71" customFormat="1" x14ac:dyDescent="0.25">
      <c r="A33" s="53"/>
      <c r="B33" s="8"/>
      <c r="C33" s="8"/>
      <c r="D33" s="8"/>
      <c r="E33" s="8"/>
      <c r="F33" s="8"/>
      <c r="G33" s="8"/>
      <c r="H33" s="8"/>
      <c r="I33" s="8"/>
      <c r="J33" s="8"/>
      <c r="K33" s="8"/>
      <c r="L33" s="8"/>
    </row>
    <row r="34" spans="1:12" s="71" customFormat="1" x14ac:dyDescent="0.25">
      <c r="A34" s="53"/>
      <c r="B34" s="8"/>
      <c r="C34" s="8"/>
      <c r="D34" s="8"/>
      <c r="E34" s="8"/>
      <c r="F34" s="8"/>
      <c r="G34" s="8"/>
      <c r="H34" s="8"/>
      <c r="I34" s="8"/>
      <c r="J34" s="8"/>
      <c r="K34" s="8"/>
      <c r="L34" s="8"/>
    </row>
    <row r="35" spans="1:12" s="71" customFormat="1" ht="17.25" x14ac:dyDescent="0.25">
      <c r="A35" s="376" t="s">
        <v>1008</v>
      </c>
      <c r="B35" s="8"/>
      <c r="C35" s="8"/>
      <c r="D35" s="8"/>
      <c r="E35" s="8"/>
      <c r="F35" s="8"/>
      <c r="G35" s="8"/>
      <c r="H35" s="8"/>
      <c r="I35" s="8"/>
      <c r="J35" s="8"/>
      <c r="K35" s="8"/>
      <c r="L35" s="8"/>
    </row>
    <row r="36" spans="1:12" s="71" customFormat="1" x14ac:dyDescent="0.25">
      <c r="B36" s="8"/>
      <c r="C36" s="8"/>
      <c r="D36" s="8"/>
      <c r="E36" s="8"/>
      <c r="F36" s="8"/>
      <c r="G36" s="8"/>
      <c r="H36" s="8"/>
      <c r="I36" s="8"/>
      <c r="J36" s="8"/>
      <c r="K36" s="8"/>
      <c r="L36" s="8"/>
    </row>
    <row r="37" spans="1:12" s="71" customFormat="1" ht="78" customHeight="1" x14ac:dyDescent="0.25">
      <c r="A37" s="320" t="s">
        <v>737</v>
      </c>
      <c r="B37" s="8"/>
      <c r="C37" s="8"/>
      <c r="D37" s="8"/>
      <c r="E37" s="8"/>
      <c r="F37" s="8"/>
      <c r="G37" s="8"/>
      <c r="H37" s="8"/>
      <c r="I37" s="8"/>
      <c r="J37" s="8"/>
      <c r="K37" s="8"/>
      <c r="L37" s="8"/>
    </row>
    <row r="38" spans="1:12" s="71" customFormat="1" ht="72" customHeight="1" x14ac:dyDescent="0.25">
      <c r="A38" s="320" t="s">
        <v>738</v>
      </c>
      <c r="B38" s="8"/>
      <c r="C38" s="8"/>
      <c r="D38" s="8"/>
      <c r="E38" s="8"/>
      <c r="F38" s="8"/>
      <c r="G38" s="8"/>
      <c r="H38" s="8"/>
      <c r="I38" s="8"/>
      <c r="J38" s="8"/>
      <c r="K38" s="8"/>
      <c r="L38" s="8"/>
    </row>
    <row r="39" spans="1:12" s="71" customFormat="1" x14ac:dyDescent="0.25">
      <c r="B39" s="8"/>
      <c r="C39" s="8"/>
      <c r="D39" s="8"/>
      <c r="E39" s="8"/>
      <c r="F39" s="8"/>
      <c r="G39" s="8"/>
      <c r="H39" s="8"/>
      <c r="I39" s="8"/>
      <c r="J39" s="8"/>
      <c r="K39" s="8"/>
      <c r="L39" s="8"/>
    </row>
    <row r="40" spans="1:12" s="71" customFormat="1" x14ac:dyDescent="0.25">
      <c r="A40" s="321" t="s">
        <v>739</v>
      </c>
      <c r="B40" s="8"/>
      <c r="C40" s="8"/>
      <c r="D40" s="8"/>
      <c r="E40" s="8"/>
      <c r="F40" s="8"/>
      <c r="G40" s="8"/>
      <c r="H40" s="8"/>
      <c r="I40" s="8"/>
      <c r="J40" s="8"/>
      <c r="K40" s="8"/>
      <c r="L40" s="8"/>
    </row>
    <row r="41" spans="1:12" s="71" customFormat="1" x14ac:dyDescent="0.25">
      <c r="A41" s="322"/>
      <c r="B41" s="8"/>
      <c r="C41" s="8"/>
      <c r="D41" s="8"/>
      <c r="E41" s="8"/>
      <c r="F41" s="8"/>
      <c r="G41" s="8"/>
      <c r="H41" s="8"/>
      <c r="I41" s="8"/>
      <c r="J41" s="8"/>
      <c r="K41" s="8"/>
      <c r="L41" s="8"/>
    </row>
    <row r="42" spans="1:12" s="71" customFormat="1" ht="145.5" customHeight="1" x14ac:dyDescent="0.25">
      <c r="A42" s="323" t="s">
        <v>740</v>
      </c>
      <c r="B42" s="8"/>
      <c r="C42" s="8"/>
      <c r="D42" s="8"/>
      <c r="E42" s="8"/>
      <c r="F42" s="8"/>
      <c r="G42" s="8"/>
      <c r="H42" s="8"/>
      <c r="I42" s="8"/>
      <c r="J42" s="8"/>
      <c r="K42" s="8"/>
      <c r="L42" s="8"/>
    </row>
    <row r="43" spans="1:12" s="71" customFormat="1" ht="142.5" customHeight="1" x14ac:dyDescent="0.25">
      <c r="A43" s="323" t="s">
        <v>741</v>
      </c>
      <c r="B43" s="8"/>
      <c r="C43" s="8"/>
      <c r="D43" s="8"/>
      <c r="E43" s="8"/>
      <c r="F43" s="8"/>
      <c r="G43" s="8"/>
      <c r="H43" s="8"/>
      <c r="I43" s="8"/>
      <c r="J43" s="8"/>
      <c r="K43" s="8"/>
      <c r="L43" s="8"/>
    </row>
    <row r="44" spans="1:12" s="71" customFormat="1" ht="60.75" customHeight="1" x14ac:dyDescent="0.25">
      <c r="A44" s="323" t="s">
        <v>742</v>
      </c>
      <c r="B44" s="8"/>
      <c r="C44" s="8"/>
      <c r="D44" s="8"/>
      <c r="E44" s="8"/>
      <c r="F44" s="8"/>
      <c r="G44" s="8"/>
      <c r="H44" s="8"/>
      <c r="I44" s="8"/>
      <c r="J44" s="8"/>
      <c r="K44" s="8"/>
      <c r="L44" s="8"/>
    </row>
    <row r="45" spans="1:12" s="71" customFormat="1" ht="57" customHeight="1" x14ac:dyDescent="0.25">
      <c r="A45" s="323" t="s">
        <v>743</v>
      </c>
      <c r="B45" s="8"/>
      <c r="C45" s="8"/>
      <c r="D45" s="8"/>
      <c r="E45" s="8"/>
      <c r="F45" s="8"/>
      <c r="G45" s="8"/>
      <c r="H45" s="8"/>
      <c r="I45" s="8"/>
      <c r="J45" s="8"/>
      <c r="K45" s="8"/>
      <c r="L45" s="8"/>
    </row>
    <row r="46" spans="1:12" s="71" customFormat="1" ht="48" customHeight="1" x14ac:dyDescent="0.25">
      <c r="A46" s="323" t="s">
        <v>744</v>
      </c>
      <c r="B46" s="8"/>
      <c r="C46" s="8"/>
      <c r="D46" s="8"/>
      <c r="E46" s="8"/>
      <c r="F46" s="8"/>
      <c r="G46" s="8"/>
      <c r="H46" s="8"/>
      <c r="I46" s="8"/>
      <c r="J46" s="8"/>
      <c r="K46" s="8"/>
      <c r="L46" s="8"/>
    </row>
    <row r="47" spans="1:12" s="71" customFormat="1" ht="165" customHeight="1" x14ac:dyDescent="0.25">
      <c r="A47" s="323" t="s">
        <v>745</v>
      </c>
      <c r="B47" s="8"/>
      <c r="C47" s="8"/>
      <c r="D47" s="8"/>
      <c r="E47" s="8"/>
      <c r="F47" s="8"/>
      <c r="G47" s="8"/>
      <c r="H47" s="8"/>
      <c r="I47" s="8"/>
      <c r="J47" s="8"/>
      <c r="K47" s="8"/>
      <c r="L47" s="8"/>
    </row>
    <row r="48" spans="1:12" s="71" customFormat="1" ht="187.5" customHeight="1" x14ac:dyDescent="0.25">
      <c r="A48" s="323" t="s">
        <v>746</v>
      </c>
      <c r="B48" s="8"/>
      <c r="C48" s="8"/>
      <c r="D48" s="8"/>
      <c r="E48" s="8"/>
      <c r="F48" s="8"/>
      <c r="G48" s="8"/>
      <c r="H48" s="8"/>
      <c r="I48" s="8"/>
      <c r="J48" s="8"/>
      <c r="K48" s="8"/>
      <c r="L48" s="8"/>
    </row>
    <row r="49" spans="1:12" s="71" customFormat="1" ht="95.25" customHeight="1" x14ac:dyDescent="0.25">
      <c r="A49" s="323" t="s">
        <v>747</v>
      </c>
      <c r="B49" s="8"/>
      <c r="C49" s="8"/>
      <c r="D49" s="8"/>
      <c r="E49" s="8"/>
      <c r="F49" s="8"/>
      <c r="G49" s="8"/>
      <c r="H49" s="8"/>
      <c r="I49" s="8"/>
      <c r="J49" s="8"/>
      <c r="K49" s="8"/>
      <c r="L49" s="8"/>
    </row>
    <row r="50" spans="1:12" s="71" customFormat="1" ht="121.5" customHeight="1" x14ac:dyDescent="0.25">
      <c r="A50" s="323" t="s">
        <v>748</v>
      </c>
      <c r="B50" s="8"/>
      <c r="C50" s="8"/>
      <c r="D50" s="8"/>
      <c r="E50" s="8"/>
      <c r="F50" s="8"/>
      <c r="G50" s="8"/>
      <c r="H50" s="8"/>
      <c r="I50" s="8"/>
      <c r="J50" s="8"/>
      <c r="K50" s="8"/>
      <c r="L50" s="8"/>
    </row>
    <row r="51" spans="1:12" s="71" customFormat="1" ht="69" customHeight="1" x14ac:dyDescent="0.25">
      <c r="A51" s="323" t="s">
        <v>749</v>
      </c>
      <c r="B51" s="8"/>
      <c r="C51" s="8"/>
      <c r="D51" s="8"/>
      <c r="E51" s="8"/>
      <c r="F51" s="8"/>
      <c r="G51" s="8"/>
      <c r="H51" s="8"/>
      <c r="I51" s="8"/>
      <c r="J51" s="8"/>
      <c r="K51" s="8"/>
      <c r="L51" s="8"/>
    </row>
    <row r="52" spans="1:12" s="71" customFormat="1" x14ac:dyDescent="0.25">
      <c r="B52" s="8"/>
      <c r="C52" s="8"/>
      <c r="D52" s="8"/>
      <c r="E52" s="8"/>
      <c r="F52" s="8"/>
      <c r="G52" s="8"/>
      <c r="H52" s="8"/>
      <c r="I52" s="8"/>
      <c r="J52" s="8"/>
      <c r="K52" s="8"/>
      <c r="L52" s="8"/>
    </row>
    <row r="53" spans="1:12" s="71" customFormat="1" ht="91.5" customHeight="1" x14ac:dyDescent="0.25">
      <c r="A53" s="321" t="s">
        <v>750</v>
      </c>
      <c r="B53" s="8"/>
      <c r="C53" s="8"/>
      <c r="D53" s="8"/>
      <c r="E53" s="8"/>
      <c r="F53" s="8"/>
      <c r="G53" s="8"/>
      <c r="H53" s="8"/>
      <c r="I53" s="8"/>
      <c r="J53" s="8"/>
      <c r="K53" s="8"/>
      <c r="L53" s="8"/>
    </row>
    <row r="54" spans="1:12" s="71" customFormat="1" x14ac:dyDescent="0.25">
      <c r="B54" s="8"/>
      <c r="C54" s="8"/>
      <c r="D54" s="8"/>
      <c r="E54" s="8"/>
      <c r="F54" s="8"/>
      <c r="G54" s="8"/>
      <c r="H54" s="8"/>
      <c r="I54" s="8"/>
      <c r="J54" s="8"/>
      <c r="K54" s="8"/>
      <c r="L54" s="8"/>
    </row>
    <row r="55" spans="1:12" s="71" customFormat="1" ht="53.25" customHeight="1" x14ac:dyDescent="0.25">
      <c r="A55" s="321" t="s">
        <v>751</v>
      </c>
      <c r="B55" s="8"/>
      <c r="C55" s="8"/>
      <c r="D55" s="8"/>
      <c r="E55" s="8"/>
      <c r="F55" s="8"/>
      <c r="G55" s="8"/>
      <c r="H55" s="8"/>
      <c r="I55" s="8"/>
      <c r="J55" s="8"/>
      <c r="K55" s="8"/>
      <c r="L55" s="8"/>
    </row>
    <row r="56" spans="1:12" s="71" customFormat="1" ht="35.25" customHeight="1" x14ac:dyDescent="0.25">
      <c r="A56" s="324" t="s">
        <v>752</v>
      </c>
      <c r="B56" s="8"/>
      <c r="C56" s="8"/>
      <c r="D56" s="8"/>
      <c r="E56" s="8"/>
      <c r="F56" s="8"/>
      <c r="G56" s="8"/>
      <c r="H56" s="8"/>
      <c r="I56" s="8"/>
      <c r="J56" s="8"/>
      <c r="K56" s="8"/>
      <c r="L56" s="8"/>
    </row>
    <row r="57" spans="1:12" s="71" customFormat="1" ht="96" customHeight="1" x14ac:dyDescent="0.25">
      <c r="A57" s="324" t="s">
        <v>753</v>
      </c>
      <c r="B57" s="8"/>
      <c r="C57" s="8"/>
      <c r="D57" s="8"/>
      <c r="E57" s="8"/>
      <c r="F57" s="8"/>
      <c r="G57" s="8"/>
      <c r="H57" s="8"/>
      <c r="I57" s="8"/>
      <c r="J57" s="8"/>
      <c r="K57" s="8"/>
      <c r="L57" s="8"/>
    </row>
    <row r="58" spans="1:12" s="71" customFormat="1" x14ac:dyDescent="0.25">
      <c r="A58" s="324" t="s">
        <v>754</v>
      </c>
      <c r="B58" s="8"/>
      <c r="C58" s="8"/>
      <c r="D58" s="8"/>
      <c r="E58" s="8"/>
      <c r="F58" s="8"/>
      <c r="G58" s="8"/>
      <c r="H58" s="8"/>
      <c r="I58" s="8"/>
      <c r="J58" s="8"/>
      <c r="K58" s="8"/>
      <c r="L58" s="8"/>
    </row>
    <row r="59" spans="1:12" s="71" customFormat="1" x14ac:dyDescent="0.25">
      <c r="A59" s="324" t="s">
        <v>755</v>
      </c>
      <c r="B59" s="8"/>
      <c r="C59" s="8"/>
      <c r="D59" s="8"/>
      <c r="E59" s="8"/>
      <c r="F59" s="8"/>
      <c r="G59" s="8"/>
      <c r="H59" s="8"/>
      <c r="I59" s="8"/>
      <c r="J59" s="8"/>
      <c r="K59" s="8"/>
      <c r="L59" s="8"/>
    </row>
    <row r="60" spans="1:12" s="71" customFormat="1" ht="97.5" customHeight="1" x14ac:dyDescent="0.25">
      <c r="A60" s="320" t="s">
        <v>756</v>
      </c>
      <c r="B60" s="8"/>
      <c r="C60" s="8"/>
      <c r="D60" s="8"/>
      <c r="E60" s="8"/>
      <c r="F60" s="8"/>
      <c r="G60" s="8"/>
      <c r="H60" s="8"/>
      <c r="I60" s="8"/>
      <c r="J60" s="8"/>
      <c r="K60" s="8"/>
      <c r="L60" s="8"/>
    </row>
    <row r="61" spans="1:12" s="71" customFormat="1" ht="53.25" customHeight="1" x14ac:dyDescent="0.25">
      <c r="A61" s="321" t="s">
        <v>757</v>
      </c>
      <c r="B61" s="8"/>
      <c r="C61" s="8"/>
      <c r="D61" s="8"/>
      <c r="E61" s="8"/>
      <c r="F61" s="8"/>
      <c r="G61" s="8"/>
      <c r="H61" s="8"/>
      <c r="I61" s="8"/>
      <c r="J61" s="8"/>
      <c r="K61" s="8"/>
      <c r="L61" s="8"/>
    </row>
    <row r="62" spans="1:12" s="71" customFormat="1" ht="201" customHeight="1" x14ac:dyDescent="0.25">
      <c r="A62" s="324" t="s">
        <v>758</v>
      </c>
      <c r="B62" s="8"/>
      <c r="C62" s="8"/>
      <c r="D62" s="8"/>
      <c r="E62" s="8"/>
      <c r="F62" s="8"/>
      <c r="G62" s="8"/>
      <c r="H62" s="8"/>
      <c r="I62" s="8"/>
      <c r="J62" s="8"/>
      <c r="K62" s="8"/>
      <c r="L62" s="8"/>
    </row>
    <row r="63" spans="1:12" s="71" customFormat="1" ht="283.5" customHeight="1" x14ac:dyDescent="0.25">
      <c r="A63" s="324" t="s">
        <v>759</v>
      </c>
      <c r="B63" s="8"/>
      <c r="C63" s="8"/>
      <c r="D63" s="8"/>
      <c r="E63" s="8"/>
      <c r="F63" s="8"/>
      <c r="G63" s="8"/>
      <c r="H63" s="8"/>
      <c r="I63" s="8"/>
      <c r="J63" s="8"/>
      <c r="K63" s="8"/>
      <c r="L63" s="8"/>
    </row>
    <row r="64" spans="1:12" s="71" customFormat="1" ht="100.5" customHeight="1" x14ac:dyDescent="0.25">
      <c r="A64" s="324" t="s">
        <v>760</v>
      </c>
      <c r="B64" s="8"/>
      <c r="C64" s="8"/>
      <c r="D64" s="8"/>
      <c r="E64" s="8"/>
      <c r="F64" s="8"/>
      <c r="G64" s="8"/>
      <c r="H64" s="8"/>
      <c r="I64" s="8"/>
      <c r="J64" s="8"/>
      <c r="K64" s="8"/>
      <c r="L64" s="8"/>
    </row>
    <row r="65" spans="1:12" s="71" customFormat="1" ht="327" customHeight="1" x14ac:dyDescent="0.25">
      <c r="A65" s="324" t="s">
        <v>761</v>
      </c>
      <c r="B65" s="8"/>
      <c r="C65" s="8"/>
      <c r="D65" s="8"/>
      <c r="E65" s="8"/>
      <c r="F65" s="8"/>
      <c r="G65" s="8"/>
      <c r="H65" s="8"/>
      <c r="I65" s="8"/>
      <c r="J65" s="8"/>
      <c r="K65" s="8"/>
      <c r="L65" s="8"/>
    </row>
    <row r="66" spans="1:12" s="71" customFormat="1" x14ac:dyDescent="0.25">
      <c r="A66" s="322"/>
      <c r="B66" s="8"/>
      <c r="C66" s="8"/>
      <c r="D66" s="8"/>
      <c r="E66" s="8"/>
      <c r="F66" s="8"/>
      <c r="G66" s="8"/>
      <c r="H66" s="8"/>
      <c r="I66" s="8"/>
      <c r="J66" s="8"/>
      <c r="K66" s="8"/>
      <c r="L66" s="8"/>
    </row>
    <row r="67" spans="1:12" s="71" customFormat="1" x14ac:dyDescent="0.25">
      <c r="A67" s="320" t="s">
        <v>762</v>
      </c>
      <c r="B67" s="8"/>
      <c r="C67" s="8"/>
      <c r="D67" s="8"/>
      <c r="E67" s="8"/>
      <c r="F67" s="8"/>
      <c r="G67" s="8"/>
      <c r="H67" s="8"/>
      <c r="I67" s="8"/>
      <c r="J67" s="8"/>
      <c r="K67" s="8"/>
      <c r="L67" s="8"/>
    </row>
    <row r="68" spans="1:12" s="71" customFormat="1" ht="77.25" customHeight="1" x14ac:dyDescent="0.25">
      <c r="A68" s="325" t="s">
        <v>763</v>
      </c>
      <c r="B68" s="8"/>
      <c r="C68" s="8"/>
      <c r="D68" s="8"/>
      <c r="E68" s="8"/>
      <c r="F68" s="8"/>
      <c r="G68" s="8"/>
      <c r="H68" s="8"/>
      <c r="I68" s="8"/>
      <c r="J68" s="8"/>
      <c r="K68" s="8"/>
      <c r="L68" s="8"/>
    </row>
    <row r="69" spans="1:12" s="71" customFormat="1" ht="108" customHeight="1" x14ac:dyDescent="0.25">
      <c r="A69" s="325" t="s">
        <v>764</v>
      </c>
      <c r="B69" s="8"/>
      <c r="C69" s="8"/>
      <c r="D69" s="8"/>
      <c r="E69" s="8"/>
      <c r="F69" s="8"/>
      <c r="G69" s="8"/>
      <c r="H69" s="8"/>
      <c r="I69" s="8"/>
      <c r="J69" s="8"/>
      <c r="K69" s="8"/>
      <c r="L69" s="8"/>
    </row>
    <row r="70" spans="1:12" s="71" customFormat="1" ht="98.25" customHeight="1" x14ac:dyDescent="0.25">
      <c r="A70" s="325" t="s">
        <v>765</v>
      </c>
      <c r="B70" s="8"/>
      <c r="C70" s="8"/>
      <c r="D70" s="8"/>
      <c r="E70" s="8"/>
      <c r="F70" s="8"/>
      <c r="G70" s="8"/>
      <c r="H70" s="8"/>
      <c r="I70" s="8"/>
      <c r="J70" s="8"/>
      <c r="K70" s="8"/>
      <c r="L70" s="8"/>
    </row>
    <row r="71" spans="1:12" s="71" customFormat="1" ht="147" customHeight="1" x14ac:dyDescent="0.25">
      <c r="A71" s="324" t="s">
        <v>766</v>
      </c>
      <c r="B71" s="8"/>
      <c r="C71" s="8"/>
      <c r="D71" s="8"/>
      <c r="E71" s="8"/>
      <c r="F71" s="8"/>
      <c r="G71" s="8"/>
      <c r="H71" s="8"/>
      <c r="I71" s="8"/>
      <c r="J71" s="8"/>
      <c r="K71" s="8"/>
      <c r="L71" s="8"/>
    </row>
    <row r="72" spans="1:12" s="71" customFormat="1" x14ac:dyDescent="0.25">
      <c r="B72" s="8"/>
      <c r="C72" s="8"/>
      <c r="D72" s="8"/>
      <c r="E72" s="8"/>
      <c r="F72" s="8"/>
      <c r="G72" s="8"/>
      <c r="H72" s="8"/>
      <c r="I72" s="8"/>
      <c r="J72" s="8"/>
      <c r="K72" s="8"/>
      <c r="L72" s="8"/>
    </row>
    <row r="73" spans="1:12" s="71" customFormat="1" x14ac:dyDescent="0.25">
      <c r="A73" s="321" t="s">
        <v>767</v>
      </c>
      <c r="B73" s="8"/>
      <c r="C73" s="8"/>
      <c r="D73" s="8"/>
      <c r="E73" s="8"/>
      <c r="F73" s="8"/>
      <c r="G73" s="8"/>
      <c r="H73" s="8"/>
      <c r="I73" s="8"/>
      <c r="J73" s="8"/>
      <c r="K73" s="8"/>
      <c r="L73" s="8"/>
    </row>
    <row r="74" spans="1:12" s="71" customFormat="1" ht="165" customHeight="1" x14ac:dyDescent="0.25">
      <c r="A74" s="320" t="s">
        <v>768</v>
      </c>
      <c r="B74" s="8"/>
      <c r="C74" s="8"/>
      <c r="D74" s="8"/>
      <c r="E74" s="8"/>
      <c r="F74" s="8"/>
      <c r="G74" s="8"/>
      <c r="H74" s="8"/>
      <c r="I74" s="8"/>
      <c r="J74" s="8"/>
      <c r="K74" s="8"/>
      <c r="L74" s="8"/>
    </row>
    <row r="75" spans="1:12" s="71" customFormat="1" ht="92.25" customHeight="1" x14ac:dyDescent="0.25">
      <c r="A75" s="321" t="s">
        <v>769</v>
      </c>
      <c r="B75" s="8"/>
      <c r="C75" s="8"/>
      <c r="D75" s="8"/>
      <c r="E75" s="8"/>
      <c r="F75" s="8"/>
      <c r="G75" s="8"/>
      <c r="H75" s="8"/>
      <c r="I75" s="8"/>
      <c r="J75" s="8"/>
      <c r="K75" s="8"/>
      <c r="L75" s="8"/>
    </row>
    <row r="76" spans="1:12" s="71" customFormat="1" x14ac:dyDescent="0.25">
      <c r="B76" s="8"/>
      <c r="C76" s="8"/>
      <c r="D76" s="8"/>
      <c r="E76" s="8"/>
      <c r="F76" s="8"/>
      <c r="G76" s="8"/>
      <c r="H76" s="8"/>
      <c r="I76" s="8"/>
      <c r="J76" s="8"/>
      <c r="K76" s="8"/>
      <c r="L76" s="8"/>
    </row>
    <row r="77" spans="1:12" s="71" customFormat="1" x14ac:dyDescent="0.25">
      <c r="A77" s="321" t="s">
        <v>770</v>
      </c>
      <c r="B77" s="8"/>
      <c r="C77" s="8"/>
      <c r="D77" s="8"/>
      <c r="E77" s="8"/>
      <c r="F77" s="8"/>
      <c r="G77" s="8"/>
      <c r="H77" s="8"/>
      <c r="I77" s="8"/>
      <c r="J77" s="8"/>
      <c r="K77" s="8"/>
      <c r="L77" s="8"/>
    </row>
    <row r="78" spans="1:12" s="71" customFormat="1" x14ac:dyDescent="0.25">
      <c r="A78" s="322"/>
      <c r="B78" s="8"/>
      <c r="C78" s="8"/>
      <c r="D78" s="8"/>
      <c r="E78" s="8"/>
      <c r="F78" s="8"/>
      <c r="G78" s="8"/>
      <c r="H78" s="8"/>
      <c r="I78" s="8"/>
      <c r="J78" s="8"/>
      <c r="K78" s="8"/>
      <c r="L78" s="8"/>
    </row>
    <row r="79" spans="1:12" s="71" customFormat="1" ht="77.25" customHeight="1" x14ac:dyDescent="0.25">
      <c r="A79" s="324" t="s">
        <v>771</v>
      </c>
    </row>
    <row r="80" spans="1:12" s="71" customFormat="1" ht="132" customHeight="1" x14ac:dyDescent="0.25">
      <c r="A80" s="324" t="s">
        <v>772</v>
      </c>
    </row>
    <row r="81" spans="1:2" x14ac:dyDescent="0.25">
      <c r="A81" s="321" t="s">
        <v>773</v>
      </c>
    </row>
    <row r="82" spans="1:2" ht="60.75" customHeight="1" x14ac:dyDescent="0.25">
      <c r="A82" s="324" t="s">
        <v>774</v>
      </c>
      <c r="B82" s="71"/>
    </row>
    <row r="83" spans="1:2" ht="50.25" customHeight="1" x14ac:dyDescent="0.25">
      <c r="A83" s="324" t="s">
        <v>775</v>
      </c>
      <c r="B83" s="71"/>
    </row>
    <row r="84" spans="1:2" ht="84.75" customHeight="1" x14ac:dyDescent="0.25">
      <c r="A84" s="324" t="s">
        <v>776</v>
      </c>
      <c r="B84" s="71"/>
    </row>
    <row r="85" spans="1:2" ht="53.25" customHeight="1" x14ac:dyDescent="0.25">
      <c r="A85" s="324" t="s">
        <v>777</v>
      </c>
      <c r="B85" s="71"/>
    </row>
    <row r="86" spans="1:2" ht="96" customHeight="1" x14ac:dyDescent="0.25">
      <c r="A86" s="324" t="s">
        <v>778</v>
      </c>
      <c r="B86" s="71"/>
    </row>
    <row r="87" spans="1:2" ht="156" customHeight="1" x14ac:dyDescent="0.25">
      <c r="A87" s="324" t="s">
        <v>779</v>
      </c>
      <c r="B87" s="71"/>
    </row>
    <row r="88" spans="1:2" x14ac:dyDescent="0.25">
      <c r="B88" s="71"/>
    </row>
    <row r="89" spans="1:2" x14ac:dyDescent="0.25">
      <c r="B89" s="71"/>
    </row>
    <row r="90" spans="1:2" x14ac:dyDescent="0.25">
      <c r="B90" s="71"/>
    </row>
    <row r="91" spans="1:2" x14ac:dyDescent="0.25">
      <c r="B91" s="71"/>
    </row>
    <row r="92" spans="1:2" x14ac:dyDescent="0.25">
      <c r="B92" s="71"/>
    </row>
    <row r="93" spans="1:2" x14ac:dyDescent="0.25">
      <c r="B93" s="71"/>
    </row>
    <row r="94" spans="1:2" x14ac:dyDescent="0.25">
      <c r="B94" s="71"/>
    </row>
    <row r="95" spans="1:2" x14ac:dyDescent="0.25">
      <c r="B95" s="71"/>
    </row>
    <row r="96" spans="1:2" x14ac:dyDescent="0.25">
      <c r="B96" s="71"/>
    </row>
    <row r="97" spans="2:2" x14ac:dyDescent="0.25">
      <c r="B97" s="71"/>
    </row>
    <row r="99" spans="2:2" x14ac:dyDescent="0.25">
      <c r="B99" s="71"/>
    </row>
    <row r="100" spans="2:2" x14ac:dyDescent="0.25">
      <c r="B100" s="71"/>
    </row>
    <row r="101" spans="2:2" x14ac:dyDescent="0.25">
      <c r="B101" s="71"/>
    </row>
    <row r="102" spans="2:2" x14ac:dyDescent="0.25">
      <c r="B102" s="71"/>
    </row>
    <row r="103" spans="2:2" x14ac:dyDescent="0.25">
      <c r="B103" s="71"/>
    </row>
    <row r="104" spans="2:2" x14ac:dyDescent="0.25">
      <c r="B104" s="71"/>
    </row>
    <row r="105" spans="2:2" x14ac:dyDescent="0.25">
      <c r="B105" s="71"/>
    </row>
    <row r="106" spans="2:2" x14ac:dyDescent="0.25">
      <c r="B106" s="71"/>
    </row>
    <row r="107" spans="2:2" x14ac:dyDescent="0.25">
      <c r="B107" s="71"/>
    </row>
    <row r="108" spans="2:2" x14ac:dyDescent="0.25">
      <c r="B108" s="71"/>
    </row>
    <row r="109" spans="2:2" x14ac:dyDescent="0.25">
      <c r="B109" s="71"/>
    </row>
    <row r="110" spans="2:2" x14ac:dyDescent="0.25">
      <c r="B110" s="71"/>
    </row>
    <row r="111" spans="2:2" x14ac:dyDescent="0.25">
      <c r="B111" s="71"/>
    </row>
    <row r="112" spans="2:2" x14ac:dyDescent="0.25">
      <c r="B112" s="71"/>
    </row>
    <row r="113" spans="1:2" x14ac:dyDescent="0.25">
      <c r="B113" s="71"/>
    </row>
    <row r="114" spans="1:2" x14ac:dyDescent="0.25">
      <c r="B114" s="71"/>
    </row>
    <row r="115" spans="1:2" x14ac:dyDescent="0.25">
      <c r="B115" s="71"/>
    </row>
    <row r="116" spans="1:2" x14ac:dyDescent="0.25">
      <c r="B116" s="71"/>
    </row>
    <row r="117" spans="1:2" x14ac:dyDescent="0.25">
      <c r="B117" s="71"/>
    </row>
    <row r="118" spans="1:2" x14ac:dyDescent="0.25">
      <c r="B118" s="71"/>
    </row>
    <row r="119" spans="1:2" x14ac:dyDescent="0.25">
      <c r="B119" s="71"/>
    </row>
    <row r="120" spans="1:2" s="71" customFormat="1" x14ac:dyDescent="0.25">
      <c r="A120" s="1"/>
    </row>
    <row r="121" spans="1:2" s="71" customFormat="1" x14ac:dyDescent="0.25">
      <c r="A121" s="1"/>
    </row>
    <row r="122" spans="1:2" s="71" customFormat="1" x14ac:dyDescent="0.25">
      <c r="A122" s="1"/>
    </row>
    <row r="123" spans="1:2" s="71" customFormat="1" x14ac:dyDescent="0.25">
      <c r="A123" s="1"/>
    </row>
    <row r="124" spans="1:2" s="71" customFormat="1" x14ac:dyDescent="0.25">
      <c r="A124" s="1"/>
    </row>
    <row r="125" spans="1:2" s="71" customFormat="1" x14ac:dyDescent="0.25">
      <c r="A125" s="1"/>
    </row>
    <row r="126" spans="1:2" s="71" customFormat="1" x14ac:dyDescent="0.25">
      <c r="A126" s="1"/>
    </row>
    <row r="127" spans="1:2" s="71" customFormat="1" x14ac:dyDescent="0.25">
      <c r="A127" s="1"/>
    </row>
    <row r="128" spans="1:2" s="71" customFormat="1" x14ac:dyDescent="0.25">
      <c r="A128" s="1"/>
    </row>
    <row r="129" spans="1:2" s="71" customFormat="1" x14ac:dyDescent="0.25">
      <c r="A129" s="1"/>
    </row>
    <row r="130" spans="1:2" s="71" customFormat="1" x14ac:dyDescent="0.25">
      <c r="A130" s="1"/>
    </row>
    <row r="131" spans="1:2" s="71" customFormat="1" x14ac:dyDescent="0.25">
      <c r="A131" s="1"/>
    </row>
    <row r="132" spans="1:2" s="71" customFormat="1" x14ac:dyDescent="0.25">
      <c r="A132" s="1"/>
    </row>
    <row r="134" spans="1:2" x14ac:dyDescent="0.25">
      <c r="B134" s="71"/>
    </row>
    <row r="135" spans="1:2" x14ac:dyDescent="0.25">
      <c r="B135" s="71"/>
    </row>
    <row r="136" spans="1:2" x14ac:dyDescent="0.25">
      <c r="B136" s="71"/>
    </row>
    <row r="137" spans="1:2" x14ac:dyDescent="0.25">
      <c r="B137" s="71"/>
    </row>
    <row r="138" spans="1:2" x14ac:dyDescent="0.25">
      <c r="B138" s="71"/>
    </row>
    <row r="139" spans="1:2" x14ac:dyDescent="0.25">
      <c r="B139" s="71"/>
    </row>
    <row r="140" spans="1:2" x14ac:dyDescent="0.25">
      <c r="B140" s="71"/>
    </row>
    <row r="141" spans="1:2" x14ac:dyDescent="0.25">
      <c r="B141" s="71"/>
    </row>
    <row r="143" spans="1:2" x14ac:dyDescent="0.25">
      <c r="B143" s="71"/>
    </row>
    <row r="144" spans="1:2" x14ac:dyDescent="0.25">
      <c r="B144" s="71"/>
    </row>
    <row r="145" spans="1:2" x14ac:dyDescent="0.25">
      <c r="B145" s="71"/>
    </row>
    <row r="146" spans="1:2" x14ac:dyDescent="0.25">
      <c r="B146" s="71"/>
    </row>
    <row r="147" spans="1:2" x14ac:dyDescent="0.25">
      <c r="B147" s="71"/>
    </row>
    <row r="148" spans="1:2" x14ac:dyDescent="0.25">
      <c r="B148" s="71"/>
    </row>
    <row r="150" spans="1:2" x14ac:dyDescent="0.25">
      <c r="B150" s="71"/>
    </row>
    <row r="151" spans="1:2" x14ac:dyDescent="0.25">
      <c r="B151" s="71"/>
    </row>
    <row r="152" spans="1:2" x14ac:dyDescent="0.25">
      <c r="B152" s="71"/>
    </row>
    <row r="153" spans="1:2" x14ac:dyDescent="0.25">
      <c r="B153" s="71"/>
    </row>
    <row r="154" spans="1:2" x14ac:dyDescent="0.25">
      <c r="B154" s="71"/>
    </row>
    <row r="155" spans="1:2" x14ac:dyDescent="0.25">
      <c r="B155" s="71"/>
    </row>
    <row r="156" spans="1:2" s="71" customFormat="1" x14ac:dyDescent="0.25">
      <c r="A156" s="1"/>
    </row>
    <row r="158" spans="1:2" x14ac:dyDescent="0.25">
      <c r="B158" s="71"/>
    </row>
    <row r="159" spans="1:2" x14ac:dyDescent="0.25">
      <c r="B159" s="71"/>
    </row>
  </sheetData>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904"/>
  <sheetViews>
    <sheetView showGridLines="0" topLeftCell="A553" zoomScale="90" zoomScaleNormal="90" workbookViewId="0">
      <selection activeCell="B646" sqref="B646"/>
    </sheetView>
  </sheetViews>
  <sheetFormatPr defaultRowHeight="15" x14ac:dyDescent="0.25"/>
  <cols>
    <col min="1" max="1" width="33.7109375" customWidth="1"/>
    <col min="3" max="3" width="13.7109375" customWidth="1"/>
    <col min="4" max="4" width="9.140625" style="203"/>
  </cols>
  <sheetData>
    <row r="1" spans="1:4" s="71" customFormat="1" ht="24" thickBot="1" x14ac:dyDescent="0.4">
      <c r="A1" s="174" t="s">
        <v>369</v>
      </c>
      <c r="B1" s="10"/>
      <c r="C1" s="10"/>
      <c r="D1" s="203"/>
    </row>
    <row r="2" spans="1:4" s="71" customFormat="1" x14ac:dyDescent="0.25">
      <c r="A2" s="82" t="s">
        <v>492</v>
      </c>
      <c r="B2" s="142">
        <v>4.29</v>
      </c>
      <c r="C2" s="30" t="s">
        <v>484</v>
      </c>
      <c r="D2" s="69" t="s">
        <v>1020</v>
      </c>
    </row>
    <row r="3" spans="1:4" s="71" customFormat="1" x14ac:dyDescent="0.25">
      <c r="A3" s="40" t="s">
        <v>159</v>
      </c>
      <c r="B3" s="67">
        <v>7.82</v>
      </c>
      <c r="C3" s="26" t="s">
        <v>484</v>
      </c>
      <c r="D3" s="69" t="s">
        <v>1020</v>
      </c>
    </row>
    <row r="4" spans="1:4" s="71" customFormat="1" x14ac:dyDescent="0.25">
      <c r="A4" s="40" t="s">
        <v>160</v>
      </c>
      <c r="B4" s="67">
        <v>47.028571428571432</v>
      </c>
      <c r="C4" s="26" t="s">
        <v>485</v>
      </c>
      <c r="D4" s="69" t="s">
        <v>1020</v>
      </c>
    </row>
    <row r="5" spans="1:4" s="71" customFormat="1" x14ac:dyDescent="0.25">
      <c r="A5" s="19" t="s">
        <v>162</v>
      </c>
      <c r="B5" s="67">
        <v>5.3</v>
      </c>
      <c r="C5" s="26" t="s">
        <v>485</v>
      </c>
      <c r="D5" s="69" t="s">
        <v>1020</v>
      </c>
    </row>
    <row r="6" spans="1:4" s="71" customFormat="1" x14ac:dyDescent="0.25">
      <c r="A6" s="40" t="s">
        <v>459</v>
      </c>
      <c r="B6" s="64">
        <v>4.0199999999999996</v>
      </c>
      <c r="C6" s="26" t="s">
        <v>484</v>
      </c>
      <c r="D6" s="69" t="s">
        <v>1020</v>
      </c>
    </row>
    <row r="7" spans="1:4" s="71" customFormat="1" x14ac:dyDescent="0.25">
      <c r="A7" s="40" t="s">
        <v>161</v>
      </c>
      <c r="B7" s="64">
        <v>7.91</v>
      </c>
      <c r="C7" s="26" t="s">
        <v>485</v>
      </c>
      <c r="D7" s="69" t="s">
        <v>1020</v>
      </c>
    </row>
    <row r="8" spans="1:4" s="71" customFormat="1" x14ac:dyDescent="0.25">
      <c r="A8" s="19" t="s">
        <v>119</v>
      </c>
      <c r="B8" s="67">
        <v>11.2</v>
      </c>
      <c r="C8" s="59" t="s">
        <v>485</v>
      </c>
      <c r="D8" s="69" t="s">
        <v>1020</v>
      </c>
    </row>
    <row r="9" spans="1:4" s="71" customFormat="1" x14ac:dyDescent="0.25">
      <c r="A9" s="40" t="s">
        <v>94</v>
      </c>
      <c r="B9" s="67">
        <v>8.9600000000000009</v>
      </c>
      <c r="C9" s="59" t="s">
        <v>485</v>
      </c>
      <c r="D9" s="69" t="s">
        <v>1020</v>
      </c>
    </row>
    <row r="10" spans="1:4" s="71" customFormat="1" x14ac:dyDescent="0.25">
      <c r="A10" s="19" t="s">
        <v>440</v>
      </c>
      <c r="B10" s="62">
        <v>2.79</v>
      </c>
      <c r="C10" s="26" t="s">
        <v>484</v>
      </c>
      <c r="D10" s="248" t="s">
        <v>441</v>
      </c>
    </row>
    <row r="11" spans="1:4" s="71" customFormat="1" x14ac:dyDescent="0.25">
      <c r="A11" s="40" t="s">
        <v>322</v>
      </c>
      <c r="B11" s="67">
        <v>2.68</v>
      </c>
      <c r="C11" s="26" t="s">
        <v>484</v>
      </c>
      <c r="D11" s="69" t="s">
        <v>1020</v>
      </c>
    </row>
    <row r="12" spans="1:4" s="71" customFormat="1" ht="15.75" thickBot="1" x14ac:dyDescent="0.3">
      <c r="A12" s="21" t="s">
        <v>203</v>
      </c>
      <c r="B12" s="110">
        <v>36.76</v>
      </c>
      <c r="C12" s="28" t="s">
        <v>484</v>
      </c>
      <c r="D12" s="69" t="s">
        <v>436</v>
      </c>
    </row>
    <row r="13" spans="1:4" s="71" customFormat="1" x14ac:dyDescent="0.25">
      <c r="D13" s="50"/>
    </row>
    <row r="14" spans="1:4" s="71" customFormat="1" ht="15.75" thickBot="1" x14ac:dyDescent="0.3">
      <c r="A14" s="363" t="s">
        <v>1255</v>
      </c>
      <c r="D14" s="50"/>
    </row>
    <row r="15" spans="1:4" s="71" customFormat="1" x14ac:dyDescent="0.25">
      <c r="A15" s="82" t="s">
        <v>492</v>
      </c>
      <c r="B15" s="337">
        <v>3.48</v>
      </c>
      <c r="C15" s="98" t="s">
        <v>484</v>
      </c>
      <c r="D15" s="69" t="s">
        <v>1019</v>
      </c>
    </row>
    <row r="16" spans="1:4" s="71" customFormat="1" x14ac:dyDescent="0.25">
      <c r="A16" s="40" t="s">
        <v>159</v>
      </c>
      <c r="B16" s="73">
        <v>9.3800000000000008</v>
      </c>
      <c r="C16" s="59" t="s">
        <v>484</v>
      </c>
      <c r="D16" s="69" t="s">
        <v>1019</v>
      </c>
    </row>
    <row r="17" spans="1:4" s="71" customFormat="1" x14ac:dyDescent="0.25">
      <c r="A17" s="40" t="s">
        <v>160</v>
      </c>
      <c r="B17" s="73">
        <v>39.39</v>
      </c>
      <c r="C17" s="59" t="s">
        <v>1018</v>
      </c>
      <c r="D17" s="69" t="s">
        <v>1019</v>
      </c>
    </row>
    <row r="18" spans="1:4" s="71" customFormat="1" x14ac:dyDescent="0.25">
      <c r="A18" s="40" t="s">
        <v>459</v>
      </c>
      <c r="B18" s="74">
        <v>2.83</v>
      </c>
      <c r="C18" s="59" t="s">
        <v>484</v>
      </c>
      <c r="D18" s="69" t="s">
        <v>1019</v>
      </c>
    </row>
    <row r="19" spans="1:4" s="71" customFormat="1" x14ac:dyDescent="0.25">
      <c r="A19" s="40" t="s">
        <v>119</v>
      </c>
      <c r="B19" s="73">
        <v>7.49</v>
      </c>
      <c r="C19" s="59" t="s">
        <v>485</v>
      </c>
      <c r="D19" s="69" t="s">
        <v>1019</v>
      </c>
    </row>
    <row r="20" spans="1:4" s="71" customFormat="1" x14ac:dyDescent="0.25">
      <c r="A20" s="40" t="s">
        <v>440</v>
      </c>
      <c r="B20" s="13">
        <v>1.64</v>
      </c>
      <c r="C20" s="59" t="s">
        <v>484</v>
      </c>
      <c r="D20" s="69" t="s">
        <v>1019</v>
      </c>
    </row>
    <row r="21" spans="1:4" s="71" customFormat="1" x14ac:dyDescent="0.25">
      <c r="A21" s="40" t="s">
        <v>322</v>
      </c>
      <c r="B21" s="73">
        <v>2.75</v>
      </c>
      <c r="C21" s="59" t="s">
        <v>484</v>
      </c>
      <c r="D21" s="69" t="s">
        <v>1019</v>
      </c>
    </row>
    <row r="22" spans="1:4" s="71" customFormat="1" ht="15.75" thickBot="1" x14ac:dyDescent="0.3">
      <c r="A22" s="21" t="s">
        <v>203</v>
      </c>
      <c r="B22" s="338">
        <v>54.68</v>
      </c>
      <c r="C22" s="54" t="s">
        <v>484</v>
      </c>
      <c r="D22" s="69" t="s">
        <v>1019</v>
      </c>
    </row>
    <row r="23" spans="1:4" s="71" customFormat="1" ht="15.75" thickBot="1" x14ac:dyDescent="0.3">
      <c r="D23" s="50"/>
    </row>
    <row r="24" spans="1:4" s="71" customFormat="1" x14ac:dyDescent="0.25">
      <c r="A24" s="32" t="s">
        <v>315</v>
      </c>
      <c r="B24" s="165">
        <f>B27</f>
        <v>24.626666666666669</v>
      </c>
      <c r="C24" s="10"/>
      <c r="D24" s="203"/>
    </row>
    <row r="25" spans="1:4" s="71" customFormat="1" x14ac:dyDescent="0.25">
      <c r="A25" s="19" t="s">
        <v>295</v>
      </c>
      <c r="B25" s="26">
        <f>COUNT(B29:B34)</f>
        <v>6</v>
      </c>
      <c r="C25" s="10"/>
      <c r="D25" s="203"/>
    </row>
    <row r="26" spans="1:4" s="71" customFormat="1" x14ac:dyDescent="0.25">
      <c r="A26" s="48" t="s">
        <v>281</v>
      </c>
      <c r="B26" s="131">
        <f>STDEV(B29:B34)</f>
        <v>9.9997733307643806</v>
      </c>
      <c r="C26" s="10"/>
      <c r="D26" s="203"/>
    </row>
    <row r="27" spans="1:4" s="71" customFormat="1" x14ac:dyDescent="0.25">
      <c r="A27" s="19" t="s">
        <v>279</v>
      </c>
      <c r="B27" s="131">
        <f>AVERAGE(B29:B34)</f>
        <v>24.626666666666669</v>
      </c>
      <c r="D27" s="203"/>
    </row>
    <row r="28" spans="1:4" s="71" customFormat="1" ht="15.75" thickBot="1" x14ac:dyDescent="0.3">
      <c r="A28" s="48" t="s">
        <v>283</v>
      </c>
      <c r="B28" s="131">
        <f>CONFIDENCE(0.05,B26,B25)</f>
        <v>8.0013380907621894</v>
      </c>
      <c r="C28" s="10"/>
      <c r="D28" s="203"/>
    </row>
    <row r="29" spans="1:4" s="71" customFormat="1" x14ac:dyDescent="0.25">
      <c r="A29" s="82" t="s">
        <v>220</v>
      </c>
      <c r="B29" s="29">
        <v>20</v>
      </c>
      <c r="C29" s="98" t="s">
        <v>485</v>
      </c>
      <c r="D29" s="203" t="s">
        <v>252</v>
      </c>
    </row>
    <row r="30" spans="1:4" s="71" customFormat="1" x14ac:dyDescent="0.25">
      <c r="A30" s="40" t="s">
        <v>221</v>
      </c>
      <c r="B30" s="10">
        <v>20</v>
      </c>
      <c r="C30" s="59" t="s">
        <v>485</v>
      </c>
      <c r="D30" s="203" t="s">
        <v>373</v>
      </c>
    </row>
    <row r="31" spans="1:4" s="71" customFormat="1" x14ac:dyDescent="0.25">
      <c r="A31" s="40" t="s">
        <v>259</v>
      </c>
      <c r="B31" s="10">
        <v>15.56</v>
      </c>
      <c r="C31" s="59" t="s">
        <v>485</v>
      </c>
      <c r="D31" s="203" t="s">
        <v>374</v>
      </c>
    </row>
    <row r="32" spans="1:4" s="71" customFormat="1" x14ac:dyDescent="0.25">
      <c r="A32" s="40" t="s">
        <v>260</v>
      </c>
      <c r="B32" s="10">
        <v>40.9</v>
      </c>
      <c r="C32" s="59" t="s">
        <v>485</v>
      </c>
      <c r="D32" s="203" t="s">
        <v>262</v>
      </c>
    </row>
    <row r="33" spans="1:4" s="71" customFormat="1" x14ac:dyDescent="0.25">
      <c r="A33" s="40" t="s">
        <v>261</v>
      </c>
      <c r="B33" s="10">
        <v>33</v>
      </c>
      <c r="C33" s="59" t="s">
        <v>485</v>
      </c>
      <c r="D33" s="203" t="s">
        <v>264</v>
      </c>
    </row>
    <row r="34" spans="1:4" s="71" customFormat="1" ht="15.75" thickBot="1" x14ac:dyDescent="0.3">
      <c r="A34" s="21" t="s">
        <v>263</v>
      </c>
      <c r="B34" s="31">
        <v>18.3</v>
      </c>
      <c r="C34" s="54" t="s">
        <v>485</v>
      </c>
      <c r="D34" s="203" t="s">
        <v>333</v>
      </c>
    </row>
    <row r="35" spans="1:4" s="71" customFormat="1" x14ac:dyDescent="0.25">
      <c r="A35" s="40"/>
      <c r="B35" s="10"/>
      <c r="C35" s="13"/>
      <c r="D35" s="69"/>
    </row>
    <row r="36" spans="1:4" s="71" customFormat="1" x14ac:dyDescent="0.25">
      <c r="A36" s="19" t="s">
        <v>19</v>
      </c>
      <c r="B36" s="64">
        <v>8.52</v>
      </c>
      <c r="C36" s="10" t="s">
        <v>485</v>
      </c>
      <c r="D36" s="248" t="s">
        <v>435</v>
      </c>
    </row>
    <row r="37" spans="1:4" s="71" customFormat="1" ht="15.75" thickBot="1" x14ac:dyDescent="0.3">
      <c r="A37" s="40"/>
      <c r="B37" s="74"/>
      <c r="C37" s="10"/>
      <c r="D37" s="81"/>
    </row>
    <row r="38" spans="1:4" s="71" customFormat="1" x14ac:dyDescent="0.25">
      <c r="A38" s="32" t="s">
        <v>581</v>
      </c>
      <c r="B38" s="165">
        <f>B41</f>
        <v>10.769666666666668</v>
      </c>
      <c r="C38" s="10"/>
      <c r="D38" s="203"/>
    </row>
    <row r="39" spans="1:4" s="71" customFormat="1" x14ac:dyDescent="0.25">
      <c r="A39" s="19" t="s">
        <v>295</v>
      </c>
      <c r="B39" s="26">
        <f>COUNT(B43:B54)</f>
        <v>12</v>
      </c>
      <c r="C39" s="10"/>
      <c r="D39" s="203"/>
    </row>
    <row r="40" spans="1:4" s="71" customFormat="1" x14ac:dyDescent="0.25">
      <c r="A40" s="48" t="s">
        <v>281</v>
      </c>
      <c r="B40" s="131">
        <f>STDEV(B43:B54)</f>
        <v>4.3064502853981743</v>
      </c>
      <c r="C40" s="10"/>
      <c r="D40" s="203"/>
    </row>
    <row r="41" spans="1:4" s="71" customFormat="1" x14ac:dyDescent="0.25">
      <c r="A41" s="19" t="s">
        <v>279</v>
      </c>
      <c r="B41" s="131">
        <f>AVERAGE(B43:B54)</f>
        <v>10.769666666666668</v>
      </c>
      <c r="D41" s="203"/>
    </row>
    <row r="42" spans="1:4" s="71" customFormat="1" ht="15.75" thickBot="1" x14ac:dyDescent="0.3">
      <c r="A42" s="48" t="s">
        <v>283</v>
      </c>
      <c r="B42" s="131">
        <f>CONFIDENCE(0.05,B40,B39)</f>
        <v>2.4365588537324157</v>
      </c>
      <c r="C42" s="10"/>
      <c r="D42" s="203"/>
    </row>
    <row r="43" spans="1:4" s="71" customFormat="1" x14ac:dyDescent="0.25">
      <c r="A43" s="82" t="s">
        <v>501</v>
      </c>
      <c r="B43" s="189">
        <f>5.15*2.24</f>
        <v>11.536000000000001</v>
      </c>
      <c r="C43" s="98" t="s">
        <v>485</v>
      </c>
      <c r="D43" s="203" t="s">
        <v>503</v>
      </c>
    </row>
    <row r="44" spans="1:4" s="71" customFormat="1" x14ac:dyDescent="0.25">
      <c r="A44" s="40" t="s">
        <v>502</v>
      </c>
      <c r="B44" s="24">
        <v>16</v>
      </c>
      <c r="C44" s="59" t="s">
        <v>485</v>
      </c>
      <c r="D44" s="50" t="s">
        <v>643</v>
      </c>
    </row>
    <row r="45" spans="1:4" s="71" customFormat="1" x14ac:dyDescent="0.25">
      <c r="A45" s="40" t="s">
        <v>641</v>
      </c>
      <c r="B45" s="24">
        <v>18</v>
      </c>
      <c r="C45" s="59" t="s">
        <v>485</v>
      </c>
      <c r="D45" s="50" t="s">
        <v>644</v>
      </c>
    </row>
    <row r="46" spans="1:4" s="71" customFormat="1" x14ac:dyDescent="0.25">
      <c r="A46" s="40" t="s">
        <v>642</v>
      </c>
      <c r="B46" s="24">
        <f>(10+15)/2</f>
        <v>12.5</v>
      </c>
      <c r="C46" s="59" t="s">
        <v>485</v>
      </c>
      <c r="D46" s="50" t="s">
        <v>654</v>
      </c>
    </row>
    <row r="47" spans="1:4" s="71" customFormat="1" x14ac:dyDescent="0.25">
      <c r="A47" s="40" t="s">
        <v>645</v>
      </c>
      <c r="B47" s="24">
        <v>5</v>
      </c>
      <c r="C47" s="59" t="s">
        <v>485</v>
      </c>
      <c r="D47" s="50" t="s">
        <v>656</v>
      </c>
    </row>
    <row r="48" spans="1:4" s="71" customFormat="1" x14ac:dyDescent="0.25">
      <c r="A48" s="40" t="s">
        <v>648</v>
      </c>
      <c r="B48" s="24">
        <v>13.5</v>
      </c>
      <c r="C48" s="59" t="s">
        <v>485</v>
      </c>
      <c r="D48" s="50" t="s">
        <v>668</v>
      </c>
    </row>
    <row r="49" spans="1:4" s="71" customFormat="1" x14ac:dyDescent="0.25">
      <c r="A49" s="40" t="s">
        <v>655</v>
      </c>
      <c r="B49" s="24">
        <v>6.9</v>
      </c>
      <c r="C49" s="59" t="s">
        <v>485</v>
      </c>
      <c r="D49" s="50" t="s">
        <v>669</v>
      </c>
    </row>
    <row r="50" spans="1:4" s="71" customFormat="1" x14ac:dyDescent="0.25">
      <c r="A50" s="40" t="s">
        <v>666</v>
      </c>
      <c r="B50" s="24">
        <v>13.4</v>
      </c>
      <c r="C50" s="59" t="s">
        <v>485</v>
      </c>
      <c r="D50" s="50" t="s">
        <v>670</v>
      </c>
    </row>
    <row r="51" spans="1:4" s="71" customFormat="1" x14ac:dyDescent="0.25">
      <c r="A51" s="40" t="s">
        <v>667</v>
      </c>
      <c r="B51" s="24">
        <v>7</v>
      </c>
      <c r="C51" s="59" t="s">
        <v>485</v>
      </c>
      <c r="D51" s="50" t="s">
        <v>665</v>
      </c>
    </row>
    <row r="52" spans="1:4" s="71" customFormat="1" x14ac:dyDescent="0.25">
      <c r="A52" s="40" t="s">
        <v>674</v>
      </c>
      <c r="B52" s="24">
        <v>4.2</v>
      </c>
      <c r="C52" s="59" t="s">
        <v>485</v>
      </c>
      <c r="D52" s="50" t="s">
        <v>647</v>
      </c>
    </row>
    <row r="53" spans="1:4" s="71" customFormat="1" x14ac:dyDescent="0.25">
      <c r="A53" s="40" t="s">
        <v>675</v>
      </c>
      <c r="B53" s="24">
        <v>10</v>
      </c>
      <c r="C53" s="59" t="s">
        <v>485</v>
      </c>
      <c r="D53" s="50" t="s">
        <v>640</v>
      </c>
    </row>
    <row r="54" spans="1:4" s="71" customFormat="1" ht="15.75" thickBot="1" x14ac:dyDescent="0.3">
      <c r="A54" s="21" t="s">
        <v>676</v>
      </c>
      <c r="B54" s="84">
        <f>5*2.24</f>
        <v>11.200000000000001</v>
      </c>
      <c r="C54" s="54" t="s">
        <v>485</v>
      </c>
      <c r="D54" s="203" t="s">
        <v>504</v>
      </c>
    </row>
    <row r="55" spans="1:4" s="71" customFormat="1" x14ac:dyDescent="0.25">
      <c r="A55" s="40"/>
      <c r="B55" s="74">
        <f>MAX(B43:B54)</f>
        <v>18</v>
      </c>
      <c r="C55" s="10"/>
      <c r="D55" s="81"/>
    </row>
    <row r="56" spans="1:4" s="71" customFormat="1" ht="15.75" thickBot="1" x14ac:dyDescent="0.3">
      <c r="A56" s="13"/>
      <c r="B56" s="74"/>
      <c r="C56" s="10"/>
      <c r="D56" s="81"/>
    </row>
    <row r="57" spans="1:4" s="71" customFormat="1" x14ac:dyDescent="0.25">
      <c r="A57" s="32" t="s">
        <v>637</v>
      </c>
      <c r="B57" s="165">
        <f>B60</f>
        <v>11.80909090909091</v>
      </c>
      <c r="C57" s="10"/>
      <c r="D57" s="81"/>
    </row>
    <row r="58" spans="1:4" s="71" customFormat="1" x14ac:dyDescent="0.25">
      <c r="A58" s="19" t="s">
        <v>295</v>
      </c>
      <c r="B58" s="26">
        <f>COUNT(B62:B73)</f>
        <v>11</v>
      </c>
      <c r="C58" s="10"/>
      <c r="D58" s="81"/>
    </row>
    <row r="59" spans="1:4" s="71" customFormat="1" x14ac:dyDescent="0.25">
      <c r="A59" s="48" t="s">
        <v>281</v>
      </c>
      <c r="B59" s="131">
        <f>STDEV(B62:B73)</f>
        <v>2.9773997197066229</v>
      </c>
      <c r="C59" s="10"/>
      <c r="D59" s="81"/>
    </row>
    <row r="60" spans="1:4" s="71" customFormat="1" x14ac:dyDescent="0.25">
      <c r="A60" s="19" t="s">
        <v>279</v>
      </c>
      <c r="B60" s="131">
        <f>AVERAGE(B62:B73)</f>
        <v>11.80909090909091</v>
      </c>
      <c r="C60" s="10"/>
      <c r="D60" s="81"/>
    </row>
    <row r="61" spans="1:4" s="71" customFormat="1" ht="15.75" thickBot="1" x14ac:dyDescent="0.3">
      <c r="A61" s="48" t="s">
        <v>283</v>
      </c>
      <c r="B61" s="131">
        <f>CONFIDENCE(0.05,B59,B58)</f>
        <v>1.759498462163791</v>
      </c>
      <c r="C61" s="10"/>
      <c r="D61" s="81"/>
    </row>
    <row r="62" spans="1:4" s="71" customFormat="1" x14ac:dyDescent="0.25">
      <c r="A62" s="82" t="s">
        <v>638</v>
      </c>
      <c r="B62" s="29">
        <v>11.9</v>
      </c>
      <c r="C62" s="98" t="s">
        <v>485</v>
      </c>
      <c r="D62" s="69" t="s">
        <v>465</v>
      </c>
    </row>
    <row r="63" spans="1:4" s="71" customFormat="1" x14ac:dyDescent="0.25">
      <c r="A63" s="40" t="s">
        <v>639</v>
      </c>
      <c r="B63" s="10">
        <v>15.6</v>
      </c>
      <c r="C63" s="59" t="s">
        <v>485</v>
      </c>
      <c r="D63" s="50" t="s">
        <v>649</v>
      </c>
    </row>
    <row r="64" spans="1:4" s="71" customFormat="1" x14ac:dyDescent="0.25">
      <c r="A64" s="40" t="s">
        <v>650</v>
      </c>
      <c r="B64" s="10">
        <v>10</v>
      </c>
      <c r="C64" s="59" t="s">
        <v>485</v>
      </c>
      <c r="D64" s="50" t="s">
        <v>661</v>
      </c>
    </row>
    <row r="65" spans="1:4" s="71" customFormat="1" x14ac:dyDescent="0.25">
      <c r="A65" s="40" t="s">
        <v>651</v>
      </c>
      <c r="B65" s="13">
        <v>10</v>
      </c>
      <c r="C65" s="59" t="s">
        <v>485</v>
      </c>
      <c r="D65" s="50" t="s">
        <v>662</v>
      </c>
    </row>
    <row r="66" spans="1:4" s="71" customFormat="1" x14ac:dyDescent="0.25">
      <c r="A66" s="40" t="s">
        <v>653</v>
      </c>
      <c r="B66" s="10">
        <v>16.8</v>
      </c>
      <c r="C66" s="59" t="s">
        <v>485</v>
      </c>
      <c r="D66" s="50" t="s">
        <v>652</v>
      </c>
    </row>
    <row r="67" spans="1:4" s="71" customFormat="1" x14ac:dyDescent="0.25">
      <c r="A67" s="40" t="s">
        <v>659</v>
      </c>
      <c r="B67" s="13">
        <v>9</v>
      </c>
      <c r="C67" s="59" t="s">
        <v>485</v>
      </c>
      <c r="D67" s="50" t="s">
        <v>657</v>
      </c>
    </row>
    <row r="68" spans="1:4" s="71" customFormat="1" x14ac:dyDescent="0.25">
      <c r="A68" s="40" t="s">
        <v>660</v>
      </c>
      <c r="B68" s="13">
        <v>13.6</v>
      </c>
      <c r="C68" s="59" t="s">
        <v>485</v>
      </c>
      <c r="D68" s="50" t="s">
        <v>536</v>
      </c>
    </row>
    <row r="69" spans="1:4" s="71" customFormat="1" x14ac:dyDescent="0.25">
      <c r="A69" s="40" t="s">
        <v>663</v>
      </c>
      <c r="B69" s="13">
        <v>15.2</v>
      </c>
      <c r="C69" s="59" t="s">
        <v>485</v>
      </c>
      <c r="D69" s="50" t="s">
        <v>671</v>
      </c>
    </row>
    <row r="70" spans="1:4" s="71" customFormat="1" x14ac:dyDescent="0.25">
      <c r="A70" s="40" t="s">
        <v>664</v>
      </c>
      <c r="B70" s="13">
        <f>(8+12)/2</f>
        <v>10</v>
      </c>
      <c r="C70" s="59" t="s">
        <v>485</v>
      </c>
      <c r="D70" s="50" t="s">
        <v>658</v>
      </c>
    </row>
    <row r="71" spans="1:4" s="71" customFormat="1" x14ac:dyDescent="0.25">
      <c r="A71" s="40" t="s">
        <v>672</v>
      </c>
      <c r="B71" s="10">
        <v>9</v>
      </c>
      <c r="C71" s="59" t="s">
        <v>485</v>
      </c>
      <c r="D71" s="50" t="s">
        <v>565</v>
      </c>
    </row>
    <row r="72" spans="1:4" s="71" customFormat="1" ht="15.75" thickBot="1" x14ac:dyDescent="0.3">
      <c r="A72" s="21" t="s">
        <v>673</v>
      </c>
      <c r="B72" s="84">
        <v>8.8000000000000007</v>
      </c>
      <c r="C72" s="54" t="s">
        <v>485</v>
      </c>
      <c r="D72" s="50" t="s">
        <v>646</v>
      </c>
    </row>
    <row r="73" spans="1:4" s="71" customFormat="1" x14ac:dyDescent="0.25">
      <c r="D73" s="50"/>
    </row>
    <row r="74" spans="1:4" s="71" customFormat="1" x14ac:dyDescent="0.25">
      <c r="D74" s="203"/>
    </row>
    <row r="75" spans="1:4" s="71" customFormat="1" ht="23.25" x14ac:dyDescent="0.35">
      <c r="A75" s="181" t="s">
        <v>378</v>
      </c>
      <c r="D75" s="203"/>
    </row>
    <row r="76" spans="1:4" s="71" customFormat="1" ht="15.75" thickBot="1" x14ac:dyDescent="0.3">
      <c r="A76" s="97" t="s">
        <v>146</v>
      </c>
      <c r="B76" s="97" t="s">
        <v>34</v>
      </c>
      <c r="C76" s="1" t="s">
        <v>3</v>
      </c>
      <c r="D76" s="203"/>
    </row>
    <row r="77" spans="1:4" s="71" customFormat="1" x14ac:dyDescent="0.25">
      <c r="A77" s="17" t="s">
        <v>25</v>
      </c>
      <c r="B77" s="170">
        <v>0.155</v>
      </c>
      <c r="C77" s="71" t="s">
        <v>105</v>
      </c>
      <c r="D77" s="203"/>
    </row>
    <row r="78" spans="1:4" s="71" customFormat="1" x14ac:dyDescent="0.25">
      <c r="A78" s="19" t="s">
        <v>30</v>
      </c>
      <c r="B78" s="76">
        <v>0.3</v>
      </c>
      <c r="C78" s="71" t="s">
        <v>153</v>
      </c>
      <c r="D78" s="203"/>
    </row>
    <row r="79" spans="1:4" s="71" customFormat="1" x14ac:dyDescent="0.25">
      <c r="A79" s="19" t="s">
        <v>20</v>
      </c>
      <c r="B79" s="76">
        <v>0.13</v>
      </c>
      <c r="C79" s="71" t="s">
        <v>105</v>
      </c>
      <c r="D79" s="203"/>
    </row>
    <row r="80" spans="1:4" s="71" customFormat="1" x14ac:dyDescent="0.25">
      <c r="A80" s="40" t="s">
        <v>137</v>
      </c>
      <c r="B80" s="76">
        <v>0.09</v>
      </c>
      <c r="C80" s="71" t="s">
        <v>336</v>
      </c>
      <c r="D80" s="203"/>
    </row>
    <row r="81" spans="1:4" s="71" customFormat="1" ht="15.75" thickBot="1" x14ac:dyDescent="0.3">
      <c r="A81" s="21" t="s">
        <v>460</v>
      </c>
      <c r="B81" s="171">
        <v>0.13500000000000001</v>
      </c>
      <c r="C81" s="71" t="s">
        <v>243</v>
      </c>
      <c r="D81" s="203"/>
    </row>
    <row r="82" spans="1:4" s="71" customFormat="1" x14ac:dyDescent="0.25">
      <c r="D82" s="203"/>
    </row>
    <row r="83" spans="1:4" s="71" customFormat="1" ht="15.75" thickBot="1" x14ac:dyDescent="0.3">
      <c r="A83" s="103" t="s">
        <v>147</v>
      </c>
      <c r="B83" s="172" t="s">
        <v>34</v>
      </c>
      <c r="C83" s="1" t="s">
        <v>3</v>
      </c>
      <c r="D83" s="203"/>
    </row>
    <row r="84" spans="1:4" s="71" customFormat="1" x14ac:dyDescent="0.25">
      <c r="A84" s="82" t="s">
        <v>142</v>
      </c>
      <c r="B84" s="173">
        <v>0.65</v>
      </c>
      <c r="C84" s="71" t="s">
        <v>251</v>
      </c>
      <c r="D84" s="203" t="s">
        <v>143</v>
      </c>
    </row>
    <row r="85" spans="1:4" s="71" customFormat="1" x14ac:dyDescent="0.25">
      <c r="A85" s="40" t="s">
        <v>19</v>
      </c>
      <c r="B85" s="76">
        <v>0.15</v>
      </c>
      <c r="C85" s="71" t="s">
        <v>163</v>
      </c>
      <c r="D85" s="203"/>
    </row>
    <row r="86" spans="1:4" s="71" customFormat="1" x14ac:dyDescent="0.25">
      <c r="A86" s="40" t="s">
        <v>119</v>
      </c>
      <c r="B86" s="76">
        <v>0.3</v>
      </c>
      <c r="C86" s="71" t="s">
        <v>164</v>
      </c>
      <c r="D86" s="203"/>
    </row>
    <row r="87" spans="1:4" s="71" customFormat="1" x14ac:dyDescent="0.25">
      <c r="A87" s="40" t="s">
        <v>32</v>
      </c>
      <c r="B87" s="76">
        <v>0.3</v>
      </c>
      <c r="C87" s="71" t="s">
        <v>176</v>
      </c>
      <c r="D87" s="203"/>
    </row>
    <row r="88" spans="1:4" s="71" customFormat="1" x14ac:dyDescent="0.25">
      <c r="A88" s="40" t="s">
        <v>192</v>
      </c>
      <c r="B88" s="76">
        <v>0.75</v>
      </c>
      <c r="C88" s="71" t="s">
        <v>193</v>
      </c>
      <c r="D88" s="203"/>
    </row>
    <row r="89" spans="1:4" s="71" customFormat="1" x14ac:dyDescent="0.25">
      <c r="A89" s="40" t="s">
        <v>464</v>
      </c>
      <c r="B89" s="107">
        <v>0.84</v>
      </c>
      <c r="C89" s="71" t="s">
        <v>202</v>
      </c>
      <c r="D89" s="203"/>
    </row>
    <row r="90" spans="1:4" s="71" customFormat="1" x14ac:dyDescent="0.25">
      <c r="A90" s="40" t="s">
        <v>474</v>
      </c>
      <c r="B90" s="107">
        <v>0.55000000000000004</v>
      </c>
      <c r="C90" s="71" t="s">
        <v>538</v>
      </c>
      <c r="D90" s="203"/>
    </row>
    <row r="91" spans="1:4" s="71" customFormat="1" ht="15.75" thickBot="1" x14ac:dyDescent="0.3">
      <c r="A91" s="21" t="s">
        <v>463</v>
      </c>
      <c r="B91" s="171">
        <v>0.53</v>
      </c>
      <c r="C91" s="71" t="s">
        <v>538</v>
      </c>
      <c r="D91" s="203"/>
    </row>
    <row r="92" spans="1:4" s="71" customFormat="1" x14ac:dyDescent="0.25">
      <c r="D92" s="203"/>
    </row>
    <row r="93" spans="1:4" s="71" customFormat="1" ht="24" thickBot="1" x14ac:dyDescent="0.4">
      <c r="A93" s="181" t="s">
        <v>379</v>
      </c>
      <c r="D93" s="203"/>
    </row>
    <row r="94" spans="1:4" s="71" customFormat="1" x14ac:dyDescent="0.25">
      <c r="A94" s="17" t="s">
        <v>46</v>
      </c>
      <c r="B94" s="196">
        <f>60*1.12</f>
        <v>67.2</v>
      </c>
      <c r="C94" s="18" t="s">
        <v>478</v>
      </c>
      <c r="D94" s="203" t="s">
        <v>320</v>
      </c>
    </row>
    <row r="95" spans="1:4" s="71" customFormat="1" x14ac:dyDescent="0.25">
      <c r="A95" s="19" t="s">
        <v>421</v>
      </c>
      <c r="B95" s="61">
        <f>50*1.12</f>
        <v>56.000000000000007</v>
      </c>
      <c r="C95" s="20" t="s">
        <v>478</v>
      </c>
      <c r="D95" s="203" t="s">
        <v>320</v>
      </c>
    </row>
    <row r="96" spans="1:4" s="71" customFormat="1" ht="15.75" thickBot="1" x14ac:dyDescent="0.3">
      <c r="A96" s="27" t="s">
        <v>422</v>
      </c>
      <c r="B96" s="197">
        <f>120*1.12</f>
        <v>134.4</v>
      </c>
      <c r="C96" s="23" t="s">
        <v>478</v>
      </c>
      <c r="D96" s="203" t="s">
        <v>320</v>
      </c>
    </row>
    <row r="97" spans="1:5" s="71" customFormat="1" ht="24" thickBot="1" x14ac:dyDescent="0.4">
      <c r="A97" s="181"/>
      <c r="D97" s="203"/>
    </row>
    <row r="98" spans="1:5" s="71" customFormat="1" x14ac:dyDescent="0.25">
      <c r="A98" s="17" t="s">
        <v>411</v>
      </c>
      <c r="B98" s="196">
        <f>130*1.12</f>
        <v>145.60000000000002</v>
      </c>
      <c r="C98" s="18" t="s">
        <v>478</v>
      </c>
      <c r="D98" s="69" t="s">
        <v>320</v>
      </c>
      <c r="E98" s="1"/>
    </row>
    <row r="99" spans="1:5" s="71" customFormat="1" x14ac:dyDescent="0.25">
      <c r="A99" s="19" t="s">
        <v>412</v>
      </c>
      <c r="B99" s="61">
        <f>50*1.12</f>
        <v>56.000000000000007</v>
      </c>
      <c r="C99" s="20" t="s">
        <v>478</v>
      </c>
      <c r="D99" s="69" t="s">
        <v>320</v>
      </c>
    </row>
    <row r="100" spans="1:5" s="71" customFormat="1" ht="15.75" thickBot="1" x14ac:dyDescent="0.3">
      <c r="A100" s="27" t="s">
        <v>413</v>
      </c>
      <c r="B100" s="197">
        <f>30*1.12</f>
        <v>33.6</v>
      </c>
      <c r="C100" s="23" t="s">
        <v>478</v>
      </c>
      <c r="D100" s="69" t="s">
        <v>320</v>
      </c>
    </row>
    <row r="101" spans="1:5" s="71" customFormat="1" ht="24" thickBot="1" x14ac:dyDescent="0.4">
      <c r="A101" s="181"/>
      <c r="D101" s="203"/>
    </row>
    <row r="102" spans="1:5" s="71" customFormat="1" x14ac:dyDescent="0.25">
      <c r="A102" s="17" t="s">
        <v>44</v>
      </c>
      <c r="B102" s="196">
        <f>150*1.12</f>
        <v>168.00000000000003</v>
      </c>
      <c r="C102" s="18" t="s">
        <v>478</v>
      </c>
      <c r="D102" s="69" t="s">
        <v>320</v>
      </c>
    </row>
    <row r="103" spans="1:5" s="71" customFormat="1" x14ac:dyDescent="0.25">
      <c r="A103" s="19" t="s">
        <v>418</v>
      </c>
      <c r="B103" s="61">
        <f>110*1.12</f>
        <v>123.20000000000002</v>
      </c>
      <c r="C103" s="20" t="s">
        <v>478</v>
      </c>
      <c r="D103" s="69" t="s">
        <v>320</v>
      </c>
    </row>
    <row r="104" spans="1:5" s="71" customFormat="1" ht="15.75" thickBot="1" x14ac:dyDescent="0.3">
      <c r="A104" s="27" t="s">
        <v>419</v>
      </c>
      <c r="B104" s="197">
        <f>230*1.12</f>
        <v>257.60000000000002</v>
      </c>
      <c r="C104" s="23" t="s">
        <v>478</v>
      </c>
      <c r="D104" s="69" t="s">
        <v>320</v>
      </c>
    </row>
    <row r="105" spans="1:5" s="71" customFormat="1" ht="24" thickBot="1" x14ac:dyDescent="0.4">
      <c r="A105" s="181"/>
      <c r="D105" s="203"/>
    </row>
    <row r="106" spans="1:5" s="71" customFormat="1" x14ac:dyDescent="0.25">
      <c r="A106" s="184" t="s">
        <v>414</v>
      </c>
      <c r="B106" s="196">
        <f>60*1.12</f>
        <v>67.2</v>
      </c>
      <c r="C106" s="18" t="s">
        <v>478</v>
      </c>
      <c r="D106" s="203" t="s">
        <v>320</v>
      </c>
      <c r="E106" s="10"/>
    </row>
    <row r="107" spans="1:5" s="71" customFormat="1" x14ac:dyDescent="0.25">
      <c r="A107" s="40" t="s">
        <v>420</v>
      </c>
      <c r="B107" s="61">
        <f>60*1.12</f>
        <v>67.2</v>
      </c>
      <c r="C107" s="20" t="s">
        <v>478</v>
      </c>
      <c r="D107" s="203" t="s">
        <v>320</v>
      </c>
      <c r="E107" s="13"/>
    </row>
    <row r="108" spans="1:5" s="71" customFormat="1" ht="15.75" thickBot="1" x14ac:dyDescent="0.3">
      <c r="A108" s="21" t="s">
        <v>427</v>
      </c>
      <c r="B108" s="197">
        <f>110*1.12</f>
        <v>123.20000000000002</v>
      </c>
      <c r="C108" s="23" t="s">
        <v>478</v>
      </c>
      <c r="D108" s="203" t="s">
        <v>320</v>
      </c>
      <c r="E108" s="8"/>
    </row>
    <row r="109" spans="1:5" s="71" customFormat="1" ht="24" thickBot="1" x14ac:dyDescent="0.4">
      <c r="A109" s="181"/>
      <c r="D109" s="203"/>
    </row>
    <row r="110" spans="1:5" s="71" customFormat="1" x14ac:dyDescent="0.25">
      <c r="A110" s="17" t="s">
        <v>47</v>
      </c>
      <c r="B110" s="60">
        <v>0</v>
      </c>
      <c r="C110" s="18" t="s">
        <v>478</v>
      </c>
      <c r="D110" s="203" t="s">
        <v>320</v>
      </c>
    </row>
    <row r="111" spans="1:5" s="71" customFormat="1" x14ac:dyDescent="0.25">
      <c r="A111" s="19" t="s">
        <v>488</v>
      </c>
      <c r="B111" s="61">
        <f>80*1.12</f>
        <v>89.600000000000009</v>
      </c>
      <c r="C111" s="20" t="s">
        <v>478</v>
      </c>
      <c r="D111" s="203" t="s">
        <v>320</v>
      </c>
    </row>
    <row r="112" spans="1:5" s="71" customFormat="1" ht="15.75" thickBot="1" x14ac:dyDescent="0.3">
      <c r="A112" s="27" t="s">
        <v>489</v>
      </c>
      <c r="B112" s="63">
        <f>250*1.12</f>
        <v>280</v>
      </c>
      <c r="C112" s="23" t="s">
        <v>21</v>
      </c>
      <c r="D112" s="203" t="s">
        <v>320</v>
      </c>
    </row>
    <row r="113" spans="1:6" s="71" customFormat="1" ht="24" thickBot="1" x14ac:dyDescent="0.4">
      <c r="A113" s="181"/>
      <c r="D113" s="203"/>
    </row>
    <row r="114" spans="1:6" s="71" customFormat="1" x14ac:dyDescent="0.25">
      <c r="A114" s="17" t="s">
        <v>423</v>
      </c>
      <c r="B114" s="196">
        <v>0</v>
      </c>
      <c r="C114" s="18" t="s">
        <v>478</v>
      </c>
      <c r="D114" s="203" t="s">
        <v>320</v>
      </c>
    </row>
    <row r="115" spans="1:6" s="71" customFormat="1" x14ac:dyDescent="0.25">
      <c r="A115" s="19" t="s">
        <v>424</v>
      </c>
      <c r="B115" s="61">
        <f>60*1.12</f>
        <v>67.2</v>
      </c>
      <c r="C115" s="20" t="s">
        <v>478</v>
      </c>
      <c r="D115" s="203" t="s">
        <v>320</v>
      </c>
    </row>
    <row r="116" spans="1:6" s="71" customFormat="1" ht="15.75" thickBot="1" x14ac:dyDescent="0.3">
      <c r="A116" s="27" t="s">
        <v>425</v>
      </c>
      <c r="B116" s="197">
        <f>160*1.12</f>
        <v>179.20000000000002</v>
      </c>
      <c r="C116" s="23" t="s">
        <v>478</v>
      </c>
      <c r="D116" s="203" t="s">
        <v>320</v>
      </c>
    </row>
    <row r="117" spans="1:6" s="71" customFormat="1" ht="24" thickBot="1" x14ac:dyDescent="0.4">
      <c r="A117" s="181"/>
      <c r="D117" s="203"/>
    </row>
    <row r="118" spans="1:6" s="71" customFormat="1" x14ac:dyDescent="0.25">
      <c r="A118" s="17" t="s">
        <v>437</v>
      </c>
      <c r="B118" s="196">
        <f>115*1.12</f>
        <v>128.80000000000001</v>
      </c>
      <c r="C118" s="18" t="s">
        <v>478</v>
      </c>
      <c r="D118" s="248" t="s">
        <v>441</v>
      </c>
    </row>
    <row r="119" spans="1:6" s="71" customFormat="1" x14ac:dyDescent="0.25">
      <c r="A119" s="19" t="s">
        <v>438</v>
      </c>
      <c r="B119" s="61">
        <f>38*1.12</f>
        <v>42.56</v>
      </c>
      <c r="C119" s="20" t="s">
        <v>478</v>
      </c>
      <c r="D119" s="248" t="s">
        <v>441</v>
      </c>
    </row>
    <row r="120" spans="1:6" s="71" customFormat="1" ht="15.75" thickBot="1" x14ac:dyDescent="0.3">
      <c r="A120" s="27" t="s">
        <v>439</v>
      </c>
      <c r="B120" s="197">
        <f>38*1.12</f>
        <v>42.56</v>
      </c>
      <c r="C120" s="23" t="s">
        <v>478</v>
      </c>
      <c r="D120" s="248" t="s">
        <v>441</v>
      </c>
    </row>
    <row r="121" spans="1:6" s="71" customFormat="1" ht="15.75" thickBot="1" x14ac:dyDescent="0.3">
      <c r="D121" s="50"/>
    </row>
    <row r="122" spans="1:6" s="71" customFormat="1" x14ac:dyDescent="0.25">
      <c r="A122" s="17" t="s">
        <v>417</v>
      </c>
      <c r="B122" s="60">
        <v>0</v>
      </c>
      <c r="C122" s="18" t="s">
        <v>478</v>
      </c>
      <c r="D122" s="203" t="s">
        <v>320</v>
      </c>
    </row>
    <row r="123" spans="1:6" s="71" customFormat="1" x14ac:dyDescent="0.25">
      <c r="A123" s="40" t="s">
        <v>415</v>
      </c>
      <c r="B123" s="61">
        <f>40*1.12</f>
        <v>44.800000000000004</v>
      </c>
      <c r="C123" s="20" t="s">
        <v>478</v>
      </c>
      <c r="D123" s="203" t="s">
        <v>320</v>
      </c>
    </row>
    <row r="124" spans="1:6" s="71" customFormat="1" ht="15.75" thickBot="1" x14ac:dyDescent="0.3">
      <c r="A124" s="27" t="s">
        <v>416</v>
      </c>
      <c r="B124" s="197">
        <f>60*1.12</f>
        <v>67.2</v>
      </c>
      <c r="C124" s="23" t="s">
        <v>478</v>
      </c>
      <c r="D124" s="203" t="s">
        <v>320</v>
      </c>
    </row>
    <row r="125" spans="1:6" s="71" customFormat="1" ht="15.75" thickBot="1" x14ac:dyDescent="0.3">
      <c r="D125" s="50"/>
    </row>
    <row r="126" spans="1:6" s="71" customFormat="1" x14ac:dyDescent="0.25">
      <c r="A126" s="87" t="s">
        <v>309</v>
      </c>
      <c r="B126" s="196">
        <f>115*1.12</f>
        <v>128.80000000000001</v>
      </c>
      <c r="C126" s="18" t="s">
        <v>478</v>
      </c>
      <c r="D126" s="69" t="s">
        <v>436</v>
      </c>
      <c r="E126" s="10"/>
      <c r="F126" s="10"/>
    </row>
    <row r="127" spans="1:6" s="71" customFormat="1" x14ac:dyDescent="0.25">
      <c r="A127" s="19" t="s">
        <v>490</v>
      </c>
      <c r="B127" s="61">
        <f>20*1.12</f>
        <v>22.400000000000002</v>
      </c>
      <c r="C127" s="20" t="s">
        <v>478</v>
      </c>
      <c r="D127" s="69" t="s">
        <v>436</v>
      </c>
      <c r="E127" s="10"/>
      <c r="F127" s="10"/>
    </row>
    <row r="128" spans="1:6" s="71" customFormat="1" ht="15.75" thickBot="1" x14ac:dyDescent="0.3">
      <c r="A128" s="27" t="s">
        <v>491</v>
      </c>
      <c r="B128" s="197">
        <f>20*1.12</f>
        <v>22.400000000000002</v>
      </c>
      <c r="C128" s="23" t="s">
        <v>478</v>
      </c>
      <c r="D128" s="69" t="s">
        <v>436</v>
      </c>
      <c r="E128" s="10"/>
      <c r="F128" s="10"/>
    </row>
    <row r="129" spans="1:8" s="71" customFormat="1" ht="15.75" thickBot="1" x14ac:dyDescent="0.3">
      <c r="D129" s="50"/>
    </row>
    <row r="130" spans="1:8" s="71" customFormat="1" x14ac:dyDescent="0.25">
      <c r="A130" s="32" t="s">
        <v>311</v>
      </c>
      <c r="B130" s="169">
        <f>B133</f>
        <v>92.8</v>
      </c>
      <c r="C130" s="139"/>
      <c r="D130" s="69"/>
    </row>
    <row r="131" spans="1:8" s="71" customFormat="1" x14ac:dyDescent="0.25">
      <c r="A131" s="19" t="s">
        <v>295</v>
      </c>
      <c r="B131" s="26">
        <f>COUNT(B135:B139)</f>
        <v>5</v>
      </c>
      <c r="C131" s="139"/>
      <c r="D131" s="69"/>
    </row>
    <row r="132" spans="1:8" s="71" customFormat="1" x14ac:dyDescent="0.25">
      <c r="A132" s="48" t="s">
        <v>281</v>
      </c>
      <c r="B132" s="131">
        <f>STDEV(B135:B139)</f>
        <v>9.9599196783909854</v>
      </c>
      <c r="C132" s="139"/>
      <c r="D132" s="69"/>
    </row>
    <row r="133" spans="1:8" s="71" customFormat="1" x14ac:dyDescent="0.25">
      <c r="A133" s="19" t="s">
        <v>279</v>
      </c>
      <c r="B133" s="99">
        <f>AVERAGE(B135:B139)</f>
        <v>92.8</v>
      </c>
      <c r="D133" s="69"/>
    </row>
    <row r="134" spans="1:8" s="71" customFormat="1" ht="15.75" thickBot="1" x14ac:dyDescent="0.3">
      <c r="A134" s="48" t="s">
        <v>283</v>
      </c>
      <c r="B134" s="131">
        <f>CONFIDENCE(0.05,B132,B131)</f>
        <v>8.7300941004419528</v>
      </c>
      <c r="C134" s="139"/>
      <c r="D134" s="69"/>
      <c r="F134" s="8"/>
      <c r="G134" s="8"/>
      <c r="H134" s="8"/>
    </row>
    <row r="135" spans="1:8" s="71" customFormat="1" x14ac:dyDescent="0.25">
      <c r="A135" s="17" t="s">
        <v>180</v>
      </c>
      <c r="B135" s="329">
        <v>100</v>
      </c>
      <c r="C135" s="18" t="s">
        <v>478</v>
      </c>
      <c r="D135" s="203" t="s">
        <v>373</v>
      </c>
      <c r="F135" s="8"/>
      <c r="G135" s="8"/>
      <c r="H135" s="8"/>
    </row>
    <row r="136" spans="1:8" s="71" customFormat="1" x14ac:dyDescent="0.25">
      <c r="A136" s="19" t="s">
        <v>181</v>
      </c>
      <c r="B136" s="105">
        <v>80</v>
      </c>
      <c r="C136" s="20" t="s">
        <v>478</v>
      </c>
      <c r="D136" s="203" t="s">
        <v>195</v>
      </c>
    </row>
    <row r="137" spans="1:8" s="71" customFormat="1" x14ac:dyDescent="0.25">
      <c r="A137" s="19" t="s">
        <v>194</v>
      </c>
      <c r="B137" s="105">
        <v>100</v>
      </c>
      <c r="C137" s="20" t="s">
        <v>478</v>
      </c>
      <c r="D137" s="203" t="s">
        <v>213</v>
      </c>
    </row>
    <row r="138" spans="1:8" s="71" customFormat="1" x14ac:dyDescent="0.25">
      <c r="A138" s="19" t="s">
        <v>212</v>
      </c>
      <c r="B138" s="105">
        <v>100</v>
      </c>
      <c r="C138" s="20" t="s">
        <v>478</v>
      </c>
      <c r="D138" s="203" t="s">
        <v>252</v>
      </c>
    </row>
    <row r="139" spans="1:8" s="71" customFormat="1" ht="15.75" thickBot="1" x14ac:dyDescent="0.3">
      <c r="A139" s="27" t="s">
        <v>258</v>
      </c>
      <c r="B139" s="31">
        <v>84</v>
      </c>
      <c r="C139" s="23" t="s">
        <v>478</v>
      </c>
      <c r="D139" s="203" t="s">
        <v>175</v>
      </c>
    </row>
    <row r="140" spans="1:8" s="71" customFormat="1" ht="15.75" thickBot="1" x14ac:dyDescent="0.3">
      <c r="A140" s="10"/>
      <c r="B140" s="105"/>
      <c r="C140" s="16"/>
      <c r="D140" s="203"/>
    </row>
    <row r="141" spans="1:8" s="71" customFormat="1" x14ac:dyDescent="0.25">
      <c r="A141" s="32" t="s">
        <v>497</v>
      </c>
      <c r="B141" s="169">
        <f>B144</f>
        <v>53.2</v>
      </c>
      <c r="C141" s="16"/>
      <c r="D141" s="203"/>
    </row>
    <row r="142" spans="1:8" s="71" customFormat="1" x14ac:dyDescent="0.25">
      <c r="A142" s="19" t="s">
        <v>295</v>
      </c>
      <c r="B142" s="26">
        <f>COUNT(B146:B150)</f>
        <v>5</v>
      </c>
      <c r="C142" s="16"/>
      <c r="D142" s="203"/>
    </row>
    <row r="143" spans="1:8" s="71" customFormat="1" x14ac:dyDescent="0.25">
      <c r="A143" s="48" t="s">
        <v>281</v>
      </c>
      <c r="B143" s="131">
        <f>STDEV(B146:B150)</f>
        <v>42.156849977198249</v>
      </c>
      <c r="C143" s="16"/>
      <c r="D143" s="203"/>
    </row>
    <row r="144" spans="1:8" s="71" customFormat="1" x14ac:dyDescent="0.25">
      <c r="A144" s="19" t="s">
        <v>279</v>
      </c>
      <c r="B144" s="99">
        <f>AVERAGE(B146:B150)</f>
        <v>53.2</v>
      </c>
      <c r="C144" s="10"/>
      <c r="D144" s="203"/>
    </row>
    <row r="145" spans="1:4" s="71" customFormat="1" ht="15.75" thickBot="1" x14ac:dyDescent="0.3">
      <c r="A145" s="48" t="s">
        <v>283</v>
      </c>
      <c r="B145" s="131">
        <f>CONFIDENCE(0.05,B143,B142)</f>
        <v>36.951429244719598</v>
      </c>
      <c r="C145" s="16"/>
      <c r="D145" s="203"/>
    </row>
    <row r="146" spans="1:4" s="71" customFormat="1" x14ac:dyDescent="0.25">
      <c r="A146" s="17" t="s">
        <v>780</v>
      </c>
      <c r="B146" s="253">
        <v>50</v>
      </c>
      <c r="C146" s="18" t="s">
        <v>478</v>
      </c>
      <c r="D146" s="203" t="s">
        <v>373</v>
      </c>
    </row>
    <row r="147" spans="1:4" s="71" customFormat="1" x14ac:dyDescent="0.25">
      <c r="A147" s="19" t="s">
        <v>781</v>
      </c>
      <c r="B147" s="72">
        <v>100</v>
      </c>
      <c r="C147" s="20" t="s">
        <v>478</v>
      </c>
      <c r="D147" s="203" t="s">
        <v>374</v>
      </c>
    </row>
    <row r="148" spans="1:4" s="71" customFormat="1" x14ac:dyDescent="0.25">
      <c r="A148" s="19" t="s">
        <v>782</v>
      </c>
      <c r="B148" s="72">
        <v>10</v>
      </c>
      <c r="C148" s="20" t="s">
        <v>478</v>
      </c>
      <c r="D148" s="203" t="s">
        <v>195</v>
      </c>
    </row>
    <row r="149" spans="1:4" s="71" customFormat="1" x14ac:dyDescent="0.25">
      <c r="A149" s="19" t="s">
        <v>783</v>
      </c>
      <c r="B149" s="72">
        <v>92</v>
      </c>
      <c r="C149" s="20" t="s">
        <v>478</v>
      </c>
      <c r="D149" s="203" t="s">
        <v>213</v>
      </c>
    </row>
    <row r="150" spans="1:4" s="71" customFormat="1" ht="15.75" thickBot="1" x14ac:dyDescent="0.3">
      <c r="A150" s="27" t="s">
        <v>784</v>
      </c>
      <c r="B150" s="31">
        <v>14</v>
      </c>
      <c r="C150" s="23" t="s">
        <v>478</v>
      </c>
      <c r="D150" s="203" t="s">
        <v>175</v>
      </c>
    </row>
    <row r="151" spans="1:4" s="71" customFormat="1" ht="15.75" thickBot="1" x14ac:dyDescent="0.3">
      <c r="A151" s="10"/>
      <c r="B151" s="72"/>
      <c r="C151" s="16"/>
      <c r="D151" s="69"/>
    </row>
    <row r="152" spans="1:4" s="71" customFormat="1" x14ac:dyDescent="0.25">
      <c r="A152" s="32" t="s">
        <v>498</v>
      </c>
      <c r="B152" s="169">
        <f>B155</f>
        <v>121.8</v>
      </c>
      <c r="C152" s="16"/>
      <c r="D152" s="69"/>
    </row>
    <row r="153" spans="1:4" s="71" customFormat="1" x14ac:dyDescent="0.25">
      <c r="A153" s="19" t="s">
        <v>295</v>
      </c>
      <c r="B153" s="26">
        <f>COUNT(B157:B161)</f>
        <v>5</v>
      </c>
      <c r="C153" s="16"/>
      <c r="D153" s="69"/>
    </row>
    <row r="154" spans="1:4" s="71" customFormat="1" x14ac:dyDescent="0.25">
      <c r="A154" s="48" t="s">
        <v>281</v>
      </c>
      <c r="B154" s="131">
        <f>STDEV(B157:B161)</f>
        <v>52.461414391912854</v>
      </c>
      <c r="C154" s="16"/>
      <c r="D154" s="69"/>
    </row>
    <row r="155" spans="1:4" s="71" customFormat="1" x14ac:dyDescent="0.25">
      <c r="A155" s="19" t="s">
        <v>279</v>
      </c>
      <c r="B155" s="26">
        <f>AVERAGE(B157:B161)</f>
        <v>121.8</v>
      </c>
      <c r="C155" s="10"/>
      <c r="D155" s="69"/>
    </row>
    <row r="156" spans="1:4" s="71" customFormat="1" ht="15.75" thickBot="1" x14ac:dyDescent="0.3">
      <c r="A156" s="48" t="s">
        <v>283</v>
      </c>
      <c r="B156" s="131">
        <f>CONFIDENCE(0.05,B154,B153)</f>
        <v>45.983612225040282</v>
      </c>
      <c r="C156" s="16"/>
      <c r="D156" s="69"/>
    </row>
    <row r="157" spans="1:4" s="71" customFormat="1" x14ac:dyDescent="0.25">
      <c r="A157" s="17" t="s">
        <v>785</v>
      </c>
      <c r="B157" s="29">
        <v>200</v>
      </c>
      <c r="C157" s="18" t="s">
        <v>478</v>
      </c>
      <c r="D157" s="69" t="s">
        <v>373</v>
      </c>
    </row>
    <row r="158" spans="1:4" s="71" customFormat="1" x14ac:dyDescent="0.25">
      <c r="A158" s="19" t="s">
        <v>786</v>
      </c>
      <c r="B158" s="72">
        <v>140</v>
      </c>
      <c r="C158" s="20" t="s">
        <v>478</v>
      </c>
      <c r="D158" s="69" t="s">
        <v>374</v>
      </c>
    </row>
    <row r="159" spans="1:4" s="71" customFormat="1" x14ac:dyDescent="0.25">
      <c r="A159" s="19" t="s">
        <v>787</v>
      </c>
      <c r="B159" s="72">
        <v>60</v>
      </c>
      <c r="C159" s="20" t="s">
        <v>478</v>
      </c>
      <c r="D159" s="69" t="s">
        <v>195</v>
      </c>
    </row>
    <row r="160" spans="1:4" s="71" customFormat="1" x14ac:dyDescent="0.25">
      <c r="A160" s="19" t="s">
        <v>788</v>
      </c>
      <c r="B160" s="72">
        <v>96</v>
      </c>
      <c r="C160" s="20" t="s">
        <v>478</v>
      </c>
      <c r="D160" s="69" t="s">
        <v>213</v>
      </c>
    </row>
    <row r="161" spans="1:8" s="71" customFormat="1" ht="15.75" thickBot="1" x14ac:dyDescent="0.3">
      <c r="A161" s="27" t="s">
        <v>789</v>
      </c>
      <c r="B161" s="31">
        <v>113</v>
      </c>
      <c r="C161" s="23" t="s">
        <v>478</v>
      </c>
      <c r="D161" s="69" t="s">
        <v>175</v>
      </c>
    </row>
    <row r="162" spans="1:8" s="71" customFormat="1" ht="15.75" thickBot="1" x14ac:dyDescent="0.3">
      <c r="D162" s="50"/>
    </row>
    <row r="163" spans="1:8" s="71" customFormat="1" x14ac:dyDescent="0.25">
      <c r="A163" s="87" t="s">
        <v>432</v>
      </c>
      <c r="B163" s="196">
        <f>75*1.12</f>
        <v>84.000000000000014</v>
      </c>
      <c r="C163" s="18" t="s">
        <v>478</v>
      </c>
      <c r="D163" s="81" t="s">
        <v>435</v>
      </c>
      <c r="E163" s="97"/>
    </row>
    <row r="164" spans="1:8" s="71" customFormat="1" x14ac:dyDescent="0.25">
      <c r="A164" s="19" t="s">
        <v>433</v>
      </c>
      <c r="B164" s="61">
        <f>60*1.12</f>
        <v>67.2</v>
      </c>
      <c r="C164" s="20" t="s">
        <v>478</v>
      </c>
      <c r="D164" s="81" t="s">
        <v>435</v>
      </c>
    </row>
    <row r="165" spans="1:8" s="71" customFormat="1" ht="15.75" thickBot="1" x14ac:dyDescent="0.3">
      <c r="A165" s="27" t="s">
        <v>434</v>
      </c>
      <c r="B165" s="197">
        <f>60*1.12</f>
        <v>67.2</v>
      </c>
      <c r="C165" s="23" t="s">
        <v>478</v>
      </c>
      <c r="D165" s="81" t="s">
        <v>435</v>
      </c>
    </row>
    <row r="166" spans="1:8" s="71" customFormat="1" ht="15.75" thickBot="1" x14ac:dyDescent="0.3">
      <c r="A166" s="49"/>
      <c r="B166" s="10"/>
      <c r="C166" s="16"/>
      <c r="D166" s="203"/>
    </row>
    <row r="167" spans="1:8" s="71" customFormat="1" x14ac:dyDescent="0.25">
      <c r="A167" s="32" t="s">
        <v>479</v>
      </c>
      <c r="B167" s="169">
        <f>B170</f>
        <v>57.915733333333343</v>
      </c>
      <c r="C167" s="16"/>
      <c r="D167" s="69"/>
    </row>
    <row r="168" spans="1:8" s="71" customFormat="1" x14ac:dyDescent="0.25">
      <c r="A168" s="19" t="s">
        <v>295</v>
      </c>
      <c r="B168" s="26">
        <f>COUNT(B172:B174)</f>
        <v>3</v>
      </c>
      <c r="C168" s="16"/>
      <c r="D168" s="69"/>
    </row>
    <row r="169" spans="1:8" s="71" customFormat="1" x14ac:dyDescent="0.25">
      <c r="A169" s="48" t="s">
        <v>281</v>
      </c>
      <c r="B169" s="131">
        <f>STDEV(B172:B174)</f>
        <v>6.720537375339366</v>
      </c>
      <c r="C169" s="16"/>
      <c r="D169" s="69"/>
    </row>
    <row r="170" spans="1:8" s="71" customFormat="1" x14ac:dyDescent="0.25">
      <c r="A170" s="19" t="s">
        <v>279</v>
      </c>
      <c r="B170" s="99">
        <f>AVERAGE(B172:B174)</f>
        <v>57.915733333333343</v>
      </c>
      <c r="C170" s="16"/>
      <c r="D170" s="69"/>
    </row>
    <row r="171" spans="1:8" s="71" customFormat="1" ht="15.75" thickBot="1" x14ac:dyDescent="0.3">
      <c r="A171" s="48" t="s">
        <v>283</v>
      </c>
      <c r="B171" s="131">
        <f>CONFIDENCE(0.05,B169,B168)</f>
        <v>7.6048642192597438</v>
      </c>
      <c r="C171" s="16"/>
      <c r="D171" s="69"/>
      <c r="G171" s="10"/>
      <c r="H171" s="10"/>
    </row>
    <row r="172" spans="1:8" s="71" customFormat="1" x14ac:dyDescent="0.25">
      <c r="A172" s="82" t="s">
        <v>480</v>
      </c>
      <c r="B172" s="253">
        <f>45*1.12</f>
        <v>50.400000000000006</v>
      </c>
      <c r="C172" s="18" t="s">
        <v>478</v>
      </c>
      <c r="D172" s="69" t="s">
        <v>483</v>
      </c>
    </row>
    <row r="173" spans="1:8" s="71" customFormat="1" x14ac:dyDescent="0.25">
      <c r="A173" s="40" t="s">
        <v>481</v>
      </c>
      <c r="B173" s="72">
        <v>60</v>
      </c>
      <c r="C173" s="20" t="s">
        <v>478</v>
      </c>
      <c r="D173" s="50" t="s">
        <v>654</v>
      </c>
    </row>
    <row r="174" spans="1:8" s="71" customFormat="1" ht="15.75" thickBot="1" x14ac:dyDescent="0.3">
      <c r="A174" s="21" t="s">
        <v>683</v>
      </c>
      <c r="B174" s="70">
        <f>56.56*1.12</f>
        <v>63.347200000000008</v>
      </c>
      <c r="C174" s="23" t="s">
        <v>478</v>
      </c>
      <c r="D174" s="69" t="s">
        <v>482</v>
      </c>
    </row>
    <row r="175" spans="1:8" s="71" customFormat="1" ht="15.75" thickBot="1" x14ac:dyDescent="0.3">
      <c r="A175" s="69"/>
      <c r="B175" s="72"/>
      <c r="C175" s="16"/>
      <c r="D175" s="69"/>
    </row>
    <row r="176" spans="1:8" s="71" customFormat="1" x14ac:dyDescent="0.25">
      <c r="A176" s="32" t="s">
        <v>495</v>
      </c>
      <c r="B176" s="169">
        <f>B179</f>
        <v>17.630933333333335</v>
      </c>
      <c r="C176" s="16"/>
      <c r="D176" s="69"/>
    </row>
    <row r="177" spans="1:6" s="71" customFormat="1" x14ac:dyDescent="0.25">
      <c r="A177" s="19" t="s">
        <v>295</v>
      </c>
      <c r="B177" s="26">
        <f>COUNT(B181:B183)</f>
        <v>3</v>
      </c>
      <c r="C177" s="16"/>
      <c r="D177" s="69"/>
    </row>
    <row r="178" spans="1:6" s="71" customFormat="1" x14ac:dyDescent="0.25">
      <c r="A178" s="48" t="s">
        <v>281</v>
      </c>
      <c r="B178" s="131">
        <f>STDEV(B181:B183)</f>
        <v>4.650021270202255</v>
      </c>
      <c r="C178" s="16"/>
      <c r="D178" s="69"/>
    </row>
    <row r="179" spans="1:6" s="71" customFormat="1" x14ac:dyDescent="0.25">
      <c r="A179" s="19" t="s">
        <v>279</v>
      </c>
      <c r="B179" s="99">
        <f>AVERAGE(B181:B183)</f>
        <v>17.630933333333335</v>
      </c>
      <c r="C179" s="16"/>
      <c r="D179" s="69"/>
      <c r="F179" s="10"/>
    </row>
    <row r="180" spans="1:6" s="71" customFormat="1" ht="15.75" thickBot="1" x14ac:dyDescent="0.3">
      <c r="A180" s="48" t="s">
        <v>283</v>
      </c>
      <c r="B180" s="131">
        <f>CONFIDENCE(0.05,B178,B177)</f>
        <v>5.2618977325116294</v>
      </c>
      <c r="C180" s="16"/>
      <c r="D180" s="69"/>
    </row>
    <row r="181" spans="1:6" s="71" customFormat="1" x14ac:dyDescent="0.25">
      <c r="A181" s="82" t="s">
        <v>790</v>
      </c>
      <c r="B181" s="153">
        <f>13.3*1.12</f>
        <v>14.896000000000003</v>
      </c>
      <c r="C181" s="18" t="s">
        <v>478</v>
      </c>
      <c r="D181" s="69" t="s">
        <v>483</v>
      </c>
    </row>
    <row r="182" spans="1:6" s="71" customFormat="1" x14ac:dyDescent="0.25">
      <c r="A182" s="40" t="s">
        <v>791</v>
      </c>
      <c r="B182" s="74">
        <v>23</v>
      </c>
      <c r="C182" s="20" t="s">
        <v>478</v>
      </c>
      <c r="D182" s="50" t="s">
        <v>654</v>
      </c>
    </row>
    <row r="183" spans="1:6" s="71" customFormat="1" ht="15.75" thickBot="1" x14ac:dyDescent="0.3">
      <c r="A183" s="21" t="s">
        <v>792</v>
      </c>
      <c r="B183" s="84">
        <f>13.39*1.12</f>
        <v>14.996800000000002</v>
      </c>
      <c r="C183" s="23" t="s">
        <v>478</v>
      </c>
      <c r="D183" s="69" t="s">
        <v>482</v>
      </c>
    </row>
    <row r="184" spans="1:6" s="71" customFormat="1" ht="15.75" thickBot="1" x14ac:dyDescent="0.3">
      <c r="A184" s="49"/>
      <c r="B184" s="72"/>
      <c r="C184" s="16"/>
      <c r="D184" s="69"/>
    </row>
    <row r="185" spans="1:6" s="71" customFormat="1" x14ac:dyDescent="0.25">
      <c r="A185" s="32" t="s">
        <v>496</v>
      </c>
      <c r="B185" s="169">
        <f>B188</f>
        <v>23.964266666666671</v>
      </c>
      <c r="C185" s="16"/>
      <c r="D185" s="69"/>
      <c r="E185" s="49"/>
    </row>
    <row r="186" spans="1:6" s="71" customFormat="1" x14ac:dyDescent="0.25">
      <c r="A186" s="19" t="s">
        <v>295</v>
      </c>
      <c r="B186" s="26">
        <f>COUNT(B190:B192)</f>
        <v>3</v>
      </c>
      <c r="C186" s="16"/>
      <c r="D186" s="69"/>
      <c r="E186" s="49"/>
    </row>
    <row r="187" spans="1:6" s="71" customFormat="1" x14ac:dyDescent="0.25">
      <c r="A187" s="48" t="s">
        <v>281</v>
      </c>
      <c r="B187" s="131">
        <f>STDEV(B190:B192)</f>
        <v>15.619484556582947</v>
      </c>
      <c r="C187" s="16"/>
      <c r="D187" s="69"/>
      <c r="E187" s="49"/>
    </row>
    <row r="188" spans="1:6" s="71" customFormat="1" x14ac:dyDescent="0.25">
      <c r="A188" s="19" t="s">
        <v>279</v>
      </c>
      <c r="B188" s="131">
        <f>AVERAGE(B190:B192)</f>
        <v>23.964266666666671</v>
      </c>
      <c r="C188" s="16"/>
      <c r="D188" s="69"/>
      <c r="E188" s="49"/>
    </row>
    <row r="189" spans="1:6" s="71" customFormat="1" ht="15.75" thickBot="1" x14ac:dyDescent="0.3">
      <c r="A189" s="48" t="s">
        <v>283</v>
      </c>
      <c r="B189" s="131">
        <f>CONFIDENCE(0.05,B187,B186)</f>
        <v>17.674785897852338</v>
      </c>
      <c r="C189" s="16"/>
      <c r="D189" s="69"/>
      <c r="E189" s="49"/>
    </row>
    <row r="190" spans="1:6" s="71" customFormat="1" x14ac:dyDescent="0.25">
      <c r="A190" s="82" t="s">
        <v>793</v>
      </c>
      <c r="B190" s="153">
        <f>13.3*1.12</f>
        <v>14.896000000000003</v>
      </c>
      <c r="C190" s="18" t="s">
        <v>478</v>
      </c>
      <c r="D190" s="69" t="s">
        <v>483</v>
      </c>
    </row>
    <row r="191" spans="1:6" s="71" customFormat="1" x14ac:dyDescent="0.25">
      <c r="A191" s="40" t="s">
        <v>794</v>
      </c>
      <c r="B191" s="74">
        <v>42</v>
      </c>
      <c r="C191" s="20" t="s">
        <v>478</v>
      </c>
      <c r="D191" s="50" t="s">
        <v>654</v>
      </c>
    </row>
    <row r="192" spans="1:6" s="71" customFormat="1" ht="15.75" thickBot="1" x14ac:dyDescent="0.3">
      <c r="A192" s="21" t="s">
        <v>795</v>
      </c>
      <c r="B192" s="84">
        <f>13.39*1.12</f>
        <v>14.996800000000002</v>
      </c>
      <c r="C192" s="23" t="s">
        <v>478</v>
      </c>
      <c r="D192" s="69" t="s">
        <v>482</v>
      </c>
    </row>
    <row r="193" spans="1:4" s="71" customFormat="1" ht="15.75" thickBot="1" x14ac:dyDescent="0.3">
      <c r="D193" s="50"/>
    </row>
    <row r="194" spans="1:4" s="71" customFormat="1" x14ac:dyDescent="0.25">
      <c r="A194" s="32" t="s">
        <v>623</v>
      </c>
      <c r="B194" s="169">
        <f>B197</f>
        <v>80.166666666666671</v>
      </c>
      <c r="D194" s="50"/>
    </row>
    <row r="195" spans="1:4" s="71" customFormat="1" x14ac:dyDescent="0.25">
      <c r="A195" s="19" t="s">
        <v>295</v>
      </c>
      <c r="B195" s="26">
        <f>COUNT(B199:B204)</f>
        <v>6</v>
      </c>
      <c r="D195" s="50"/>
    </row>
    <row r="196" spans="1:4" s="71" customFormat="1" x14ac:dyDescent="0.25">
      <c r="A196" s="48" t="s">
        <v>281</v>
      </c>
      <c r="B196" s="131">
        <f>STDEV(B199:B204)</f>
        <v>18.978057505094327</v>
      </c>
      <c r="D196" s="50"/>
    </row>
    <row r="197" spans="1:4" s="71" customFormat="1" x14ac:dyDescent="0.25">
      <c r="A197" s="19" t="s">
        <v>279</v>
      </c>
      <c r="B197" s="37">
        <f>AVERAGE(B199:B204)</f>
        <v>80.166666666666671</v>
      </c>
      <c r="D197" s="50"/>
    </row>
    <row r="198" spans="1:4" s="71" customFormat="1" ht="15.75" thickBot="1" x14ac:dyDescent="0.3">
      <c r="A198" s="48" t="s">
        <v>283</v>
      </c>
      <c r="B198" s="131">
        <f>CONFIDENCE(0.05,B196,B195)</f>
        <v>15.185329645124977</v>
      </c>
      <c r="D198" s="50"/>
    </row>
    <row r="199" spans="1:4" s="71" customFormat="1" x14ac:dyDescent="0.25">
      <c r="A199" s="17" t="s">
        <v>624</v>
      </c>
      <c r="B199" s="29">
        <v>81</v>
      </c>
      <c r="C199" s="18" t="s">
        <v>478</v>
      </c>
      <c r="D199" s="50" t="s">
        <v>565</v>
      </c>
    </row>
    <row r="200" spans="1:4" s="71" customFormat="1" x14ac:dyDescent="0.25">
      <c r="A200" s="19" t="s">
        <v>677</v>
      </c>
      <c r="B200" s="10">
        <v>70</v>
      </c>
      <c r="C200" s="20" t="s">
        <v>478</v>
      </c>
      <c r="D200" s="50" t="s">
        <v>661</v>
      </c>
    </row>
    <row r="201" spans="1:4" s="71" customFormat="1" x14ac:dyDescent="0.25">
      <c r="A201" s="19" t="s">
        <v>684</v>
      </c>
      <c r="B201" s="72">
        <v>100</v>
      </c>
      <c r="C201" s="20" t="s">
        <v>478</v>
      </c>
      <c r="D201" s="69" t="s">
        <v>536</v>
      </c>
    </row>
    <row r="202" spans="1:4" s="71" customFormat="1" x14ac:dyDescent="0.25">
      <c r="A202" s="19" t="s">
        <v>678</v>
      </c>
      <c r="B202" s="10">
        <v>50</v>
      </c>
      <c r="C202" s="20" t="s">
        <v>478</v>
      </c>
      <c r="D202" s="50" t="s">
        <v>649</v>
      </c>
    </row>
    <row r="203" spans="1:4" s="71" customFormat="1" x14ac:dyDescent="0.25">
      <c r="A203" s="19" t="s">
        <v>624</v>
      </c>
      <c r="B203" s="10">
        <v>100</v>
      </c>
      <c r="C203" s="20" t="s">
        <v>478</v>
      </c>
      <c r="D203" s="69" t="s">
        <v>465</v>
      </c>
    </row>
    <row r="204" spans="1:4" s="71" customFormat="1" ht="15.75" thickBot="1" x14ac:dyDescent="0.3">
      <c r="A204" s="27" t="s">
        <v>625</v>
      </c>
      <c r="B204" s="31">
        <v>80</v>
      </c>
      <c r="C204" s="23" t="s">
        <v>478</v>
      </c>
      <c r="D204" s="69" t="s">
        <v>671</v>
      </c>
    </row>
    <row r="205" spans="1:4" s="71" customFormat="1" ht="15.75" thickBot="1" x14ac:dyDescent="0.3">
      <c r="A205" s="10"/>
      <c r="B205" s="72"/>
      <c r="C205" s="16"/>
      <c r="D205" s="69"/>
    </row>
    <row r="206" spans="1:4" s="71" customFormat="1" x14ac:dyDescent="0.25">
      <c r="A206" s="32" t="s">
        <v>626</v>
      </c>
      <c r="B206" s="169">
        <f>B209</f>
        <v>15.25</v>
      </c>
      <c r="C206" s="16"/>
      <c r="D206" s="69"/>
    </row>
    <row r="207" spans="1:4" s="71" customFormat="1" x14ac:dyDescent="0.25">
      <c r="A207" s="19" t="s">
        <v>295</v>
      </c>
      <c r="B207" s="26">
        <f>COUNT(B211:B214)</f>
        <v>4</v>
      </c>
      <c r="C207" s="16"/>
      <c r="D207" s="69"/>
    </row>
    <row r="208" spans="1:4" s="71" customFormat="1" x14ac:dyDescent="0.25">
      <c r="A208" s="48" t="s">
        <v>281</v>
      </c>
      <c r="B208" s="131">
        <f>STDEV(B211:B214)</f>
        <v>12.789970028633114</v>
      </c>
      <c r="C208" s="16"/>
      <c r="D208" s="69"/>
    </row>
    <row r="209" spans="1:4" s="71" customFormat="1" x14ac:dyDescent="0.25">
      <c r="A209" s="19" t="s">
        <v>279</v>
      </c>
      <c r="B209" s="26">
        <f>AVERAGE(B211:B214)</f>
        <v>15.25</v>
      </c>
      <c r="C209" s="16"/>
      <c r="D209" s="69"/>
    </row>
    <row r="210" spans="1:4" s="71" customFormat="1" ht="15.75" thickBot="1" x14ac:dyDescent="0.3">
      <c r="A210" s="48" t="s">
        <v>283</v>
      </c>
      <c r="B210" s="131">
        <f>CONFIDENCE(0.05,B208,B207)</f>
        <v>12.533940309733811</v>
      </c>
      <c r="C210" s="16"/>
      <c r="D210" s="69"/>
    </row>
    <row r="211" spans="1:4" s="71" customFormat="1" x14ac:dyDescent="0.25">
      <c r="A211" s="17" t="s">
        <v>628</v>
      </c>
      <c r="B211" s="29">
        <v>11</v>
      </c>
      <c r="C211" s="18" t="s">
        <v>478</v>
      </c>
      <c r="D211" s="50" t="s">
        <v>565</v>
      </c>
    </row>
    <row r="212" spans="1:4" s="71" customFormat="1" x14ac:dyDescent="0.25">
      <c r="A212" s="19" t="s">
        <v>627</v>
      </c>
      <c r="B212" s="10">
        <v>30</v>
      </c>
      <c r="C212" s="20" t="s">
        <v>478</v>
      </c>
      <c r="D212" s="50" t="s">
        <v>661</v>
      </c>
    </row>
    <row r="213" spans="1:4" s="71" customFormat="1" x14ac:dyDescent="0.25">
      <c r="A213" s="19" t="s">
        <v>679</v>
      </c>
      <c r="B213" s="10">
        <v>0</v>
      </c>
      <c r="C213" s="20" t="s">
        <v>478</v>
      </c>
      <c r="D213" s="69" t="s">
        <v>536</v>
      </c>
    </row>
    <row r="214" spans="1:4" s="71" customFormat="1" ht="15.75" thickBot="1" x14ac:dyDescent="0.3">
      <c r="A214" s="27" t="s">
        <v>685</v>
      </c>
      <c r="B214" s="31">
        <v>20</v>
      </c>
      <c r="C214" s="23" t="s">
        <v>478</v>
      </c>
      <c r="D214" s="69" t="s">
        <v>465</v>
      </c>
    </row>
    <row r="215" spans="1:4" s="71" customFormat="1" ht="15.75" thickBot="1" x14ac:dyDescent="0.3">
      <c r="A215" s="10"/>
      <c r="C215" s="16"/>
      <c r="D215" s="69"/>
    </row>
    <row r="216" spans="1:4" s="71" customFormat="1" x14ac:dyDescent="0.25">
      <c r="A216" s="32" t="s">
        <v>629</v>
      </c>
      <c r="B216" s="169">
        <f>B219</f>
        <v>40.25</v>
      </c>
      <c r="C216" s="16"/>
      <c r="D216" s="69"/>
    </row>
    <row r="217" spans="1:4" s="71" customFormat="1" x14ac:dyDescent="0.25">
      <c r="A217" s="19" t="s">
        <v>295</v>
      </c>
      <c r="B217" s="26">
        <f>COUNT(B221:B224)</f>
        <v>4</v>
      </c>
      <c r="C217" s="16"/>
      <c r="D217" s="69"/>
    </row>
    <row r="218" spans="1:4" s="71" customFormat="1" x14ac:dyDescent="0.25">
      <c r="A218" s="48" t="s">
        <v>281</v>
      </c>
      <c r="B218" s="131">
        <f>STDEV(B221:B224)</f>
        <v>32.014319712695233</v>
      </c>
      <c r="C218" s="16"/>
      <c r="D218" s="69"/>
    </row>
    <row r="219" spans="1:4" s="71" customFormat="1" x14ac:dyDescent="0.25">
      <c r="A219" s="19" t="s">
        <v>279</v>
      </c>
      <c r="B219" s="26">
        <f>AVERAGE(B221:B224)</f>
        <v>40.25</v>
      </c>
      <c r="C219" s="16"/>
      <c r="D219" s="69"/>
    </row>
    <row r="220" spans="1:4" s="71" customFormat="1" ht="15.75" thickBot="1" x14ac:dyDescent="0.3">
      <c r="A220" s="48" t="s">
        <v>283</v>
      </c>
      <c r="B220" s="131">
        <f>CONFIDENCE(0.05,B218,B217)</f>
        <v>31.373456813216666</v>
      </c>
      <c r="C220" s="16"/>
      <c r="D220" s="69"/>
    </row>
    <row r="221" spans="1:4" s="71" customFormat="1" x14ac:dyDescent="0.25">
      <c r="A221" s="17" t="s">
        <v>630</v>
      </c>
      <c r="B221" s="29">
        <v>29</v>
      </c>
      <c r="C221" s="18" t="s">
        <v>478</v>
      </c>
      <c r="D221" s="50" t="s">
        <v>565</v>
      </c>
    </row>
    <row r="222" spans="1:4" s="71" customFormat="1" x14ac:dyDescent="0.25">
      <c r="A222" s="19" t="s">
        <v>631</v>
      </c>
      <c r="B222" s="10">
        <v>65</v>
      </c>
      <c r="C222" s="20" t="s">
        <v>478</v>
      </c>
      <c r="D222" s="50" t="s">
        <v>661</v>
      </c>
    </row>
    <row r="223" spans="1:4" s="71" customFormat="1" x14ac:dyDescent="0.25">
      <c r="A223" s="19" t="s">
        <v>680</v>
      </c>
      <c r="B223" s="10">
        <v>0</v>
      </c>
      <c r="C223" s="20" t="s">
        <v>478</v>
      </c>
      <c r="D223" s="69" t="s">
        <v>536</v>
      </c>
    </row>
    <row r="224" spans="1:4" s="71" customFormat="1" ht="15.75" thickBot="1" x14ac:dyDescent="0.3">
      <c r="A224" s="27" t="s">
        <v>686</v>
      </c>
      <c r="B224" s="31">
        <v>67</v>
      </c>
      <c r="C224" s="23" t="s">
        <v>478</v>
      </c>
      <c r="D224" s="69" t="s">
        <v>465</v>
      </c>
    </row>
    <row r="225" spans="1:9" s="71" customFormat="1" x14ac:dyDescent="0.25">
      <c r="A225" s="49"/>
      <c r="B225" s="72"/>
      <c r="C225" s="16"/>
      <c r="D225" s="69"/>
    </row>
    <row r="226" spans="1:9" s="8" customFormat="1" ht="18" thickBot="1" x14ac:dyDescent="0.35">
      <c r="A226" s="254" t="s">
        <v>605</v>
      </c>
      <c r="B226" s="25" t="s">
        <v>0</v>
      </c>
      <c r="C226" s="16" t="s">
        <v>4</v>
      </c>
      <c r="D226" s="203"/>
    </row>
    <row r="227" spans="1:9" s="8" customFormat="1" ht="15.75" thickBot="1" x14ac:dyDescent="0.3">
      <c r="A227" s="267" t="s">
        <v>603</v>
      </c>
      <c r="B227" s="268">
        <v>643</v>
      </c>
      <c r="C227" s="269" t="s">
        <v>478</v>
      </c>
      <c r="D227" s="50" t="s">
        <v>602</v>
      </c>
    </row>
    <row r="228" spans="1:9" s="8" customFormat="1" x14ac:dyDescent="0.25">
      <c r="A228" s="13"/>
      <c r="B228" s="25"/>
      <c r="C228" s="16"/>
      <c r="D228" s="203"/>
    </row>
    <row r="229" spans="1:9" ht="24" thickBot="1" x14ac:dyDescent="0.4">
      <c r="A229" s="159" t="s">
        <v>426</v>
      </c>
      <c r="B229" s="71"/>
      <c r="C229" s="71"/>
      <c r="E229" s="71"/>
      <c r="F229" s="71"/>
      <c r="G229" s="71"/>
      <c r="H229" s="71"/>
      <c r="I229" s="71"/>
    </row>
    <row r="230" spans="1:9" s="71" customFormat="1" x14ac:dyDescent="0.25">
      <c r="A230" s="136" t="s">
        <v>451</v>
      </c>
      <c r="B230" s="204">
        <f>B233</f>
        <v>92.25</v>
      </c>
      <c r="D230" s="203"/>
    </row>
    <row r="231" spans="1:9" s="71" customFormat="1" x14ac:dyDescent="0.25">
      <c r="A231" s="19" t="s">
        <v>295</v>
      </c>
      <c r="B231" s="26">
        <f>COUNT(B235:B236)</f>
        <v>2</v>
      </c>
      <c r="D231" s="203"/>
    </row>
    <row r="232" spans="1:9" s="71" customFormat="1" x14ac:dyDescent="0.25">
      <c r="A232" s="48" t="s">
        <v>281</v>
      </c>
      <c r="B232" s="131">
        <f>STDEV(B235:B236)</f>
        <v>11.667261889578024</v>
      </c>
      <c r="D232" s="203"/>
    </row>
    <row r="233" spans="1:9" s="71" customFormat="1" x14ac:dyDescent="0.25">
      <c r="A233" s="19" t="s">
        <v>279</v>
      </c>
      <c r="B233" s="26">
        <f>AVERAGE(B235:B236)</f>
        <v>92.25</v>
      </c>
      <c r="D233" s="203"/>
    </row>
    <row r="234" spans="1:9" s="71" customFormat="1" ht="15.75" thickBot="1" x14ac:dyDescent="0.3">
      <c r="A234" s="89" t="s">
        <v>283</v>
      </c>
      <c r="B234" s="132">
        <f>CONFIDENCE(0.05,B232,B231)</f>
        <v>16.169702872455424</v>
      </c>
      <c r="D234" s="203"/>
    </row>
    <row r="235" spans="1:9" s="71" customFormat="1" x14ac:dyDescent="0.25">
      <c r="A235" s="184" t="s">
        <v>128</v>
      </c>
      <c r="B235" s="121">
        <v>100.5</v>
      </c>
      <c r="C235" s="30" t="s">
        <v>478</v>
      </c>
      <c r="D235" s="203" t="s">
        <v>89</v>
      </c>
    </row>
    <row r="236" spans="1:9" s="71" customFormat="1" ht="15.75" thickBot="1" x14ac:dyDescent="0.3">
      <c r="A236" s="185" t="s">
        <v>127</v>
      </c>
      <c r="B236" s="120">
        <f>75*1.12</f>
        <v>84.000000000000014</v>
      </c>
      <c r="C236" s="28" t="s">
        <v>478</v>
      </c>
      <c r="D236" s="203" t="s">
        <v>332</v>
      </c>
    </row>
    <row r="237" spans="1:9" s="71" customFormat="1" ht="24" thickBot="1" x14ac:dyDescent="0.4">
      <c r="A237" s="159"/>
      <c r="D237" s="203"/>
    </row>
    <row r="238" spans="1:9" s="71" customFormat="1" x14ac:dyDescent="0.25">
      <c r="A238" s="32" t="s">
        <v>449</v>
      </c>
      <c r="B238" s="166">
        <f>B241</f>
        <v>21.018571428571427</v>
      </c>
      <c r="D238" s="203"/>
    </row>
    <row r="239" spans="1:9" s="71" customFormat="1" x14ac:dyDescent="0.25">
      <c r="A239" s="19" t="s">
        <v>295</v>
      </c>
      <c r="B239" s="26">
        <f>COUNT(B243:B249)</f>
        <v>7</v>
      </c>
      <c r="D239" s="203"/>
    </row>
    <row r="240" spans="1:9" s="71" customFormat="1" x14ac:dyDescent="0.25">
      <c r="A240" s="48" t="s">
        <v>281</v>
      </c>
      <c r="B240" s="131">
        <f>STDEV(B243:B249)</f>
        <v>1.3847554365474131</v>
      </c>
      <c r="D240" s="203"/>
    </row>
    <row r="241" spans="1:9" s="71" customFormat="1" x14ac:dyDescent="0.25">
      <c r="A241" s="19" t="s">
        <v>279</v>
      </c>
      <c r="B241" s="131">
        <f>AVERAGE(B243:B249)</f>
        <v>21.018571428571427</v>
      </c>
      <c r="D241" s="203"/>
    </row>
    <row r="242" spans="1:9" ht="15.75" thickBot="1" x14ac:dyDescent="0.3">
      <c r="A242" s="48" t="s">
        <v>283</v>
      </c>
      <c r="B242" s="131">
        <f>CONFIDENCE(0.05,B240,B239)</f>
        <v>1.0258223332172849</v>
      </c>
      <c r="C242" s="71"/>
      <c r="E242" s="71"/>
      <c r="F242" s="71"/>
      <c r="G242" s="71"/>
      <c r="H242" s="71"/>
      <c r="I242" s="71"/>
    </row>
    <row r="243" spans="1:9" x14ac:dyDescent="0.25">
      <c r="A243" s="184" t="s">
        <v>329</v>
      </c>
      <c r="B243" s="119">
        <v>20.7</v>
      </c>
      <c r="C243" s="98" t="s">
        <v>478</v>
      </c>
      <c r="D243" s="203" t="s">
        <v>122</v>
      </c>
      <c r="E243" s="71"/>
      <c r="F243" s="71"/>
      <c r="G243" s="71"/>
      <c r="H243" s="71"/>
      <c r="I243" s="71"/>
    </row>
    <row r="244" spans="1:9" x14ac:dyDescent="0.25">
      <c r="A244" s="86" t="s">
        <v>42</v>
      </c>
      <c r="B244" s="118">
        <v>21.43</v>
      </c>
      <c r="C244" s="26" t="s">
        <v>478</v>
      </c>
      <c r="D244" s="203" t="s">
        <v>274</v>
      </c>
      <c r="E244" s="71"/>
      <c r="F244" s="71"/>
      <c r="G244" s="71"/>
      <c r="H244" s="71"/>
      <c r="I244" s="71"/>
    </row>
    <row r="245" spans="1:9" x14ac:dyDescent="0.25">
      <c r="A245" s="86" t="s">
        <v>81</v>
      </c>
      <c r="B245" s="123">
        <v>20.5</v>
      </c>
      <c r="C245" s="26" t="s">
        <v>478</v>
      </c>
      <c r="D245" s="203" t="s">
        <v>89</v>
      </c>
      <c r="E245" s="71"/>
      <c r="F245" s="71"/>
      <c r="G245" s="71"/>
      <c r="H245" s="71"/>
      <c r="I245" s="71"/>
    </row>
    <row r="246" spans="1:9" x14ac:dyDescent="0.25">
      <c r="A246" s="86" t="s">
        <v>82</v>
      </c>
      <c r="B246" s="118">
        <v>18.920000000000002</v>
      </c>
      <c r="C246" s="26" t="s">
        <v>478</v>
      </c>
      <c r="D246" s="203" t="s">
        <v>13</v>
      </c>
      <c r="E246" s="71"/>
      <c r="F246" s="71"/>
      <c r="G246" s="71"/>
      <c r="H246" s="71"/>
      <c r="I246" s="71"/>
    </row>
    <row r="247" spans="1:9" x14ac:dyDescent="0.25">
      <c r="A247" s="86" t="s">
        <v>83</v>
      </c>
      <c r="B247" s="118">
        <v>23.58</v>
      </c>
      <c r="C247" s="26" t="s">
        <v>478</v>
      </c>
      <c r="D247" s="203" t="s">
        <v>50</v>
      </c>
      <c r="E247" s="71"/>
      <c r="F247" s="71"/>
      <c r="G247" s="71"/>
      <c r="H247" s="71"/>
      <c r="I247" s="71"/>
    </row>
    <row r="248" spans="1:9" x14ac:dyDescent="0.25">
      <c r="A248" s="86" t="s">
        <v>84</v>
      </c>
      <c r="B248" s="118">
        <v>21</v>
      </c>
      <c r="C248" s="26" t="s">
        <v>478</v>
      </c>
      <c r="D248" s="203" t="s">
        <v>337</v>
      </c>
      <c r="E248" s="71"/>
      <c r="F248" s="71"/>
      <c r="G248" s="71"/>
      <c r="H248" s="71"/>
      <c r="I248" s="71"/>
    </row>
    <row r="249" spans="1:9" ht="15.75" thickBot="1" x14ac:dyDescent="0.3">
      <c r="A249" s="185" t="s">
        <v>85</v>
      </c>
      <c r="B249" s="120">
        <v>21</v>
      </c>
      <c r="C249" s="28" t="s">
        <v>478</v>
      </c>
      <c r="D249" s="203" t="s">
        <v>371</v>
      </c>
      <c r="E249" s="71"/>
      <c r="F249" s="71"/>
      <c r="G249" s="71"/>
      <c r="H249" s="71"/>
      <c r="I249" s="71"/>
    </row>
    <row r="250" spans="1:9" ht="15.75" thickBot="1" x14ac:dyDescent="0.3">
      <c r="A250" s="71"/>
      <c r="B250" s="71"/>
      <c r="C250" s="71"/>
      <c r="E250" s="71"/>
      <c r="F250" s="71"/>
      <c r="G250" s="71"/>
      <c r="H250" s="71"/>
      <c r="I250" s="71"/>
    </row>
    <row r="251" spans="1:9" s="71" customFormat="1" x14ac:dyDescent="0.25">
      <c r="A251" s="55" t="s">
        <v>452</v>
      </c>
      <c r="B251" s="166">
        <f>B254</f>
        <v>93.100000000000009</v>
      </c>
      <c r="D251" s="203"/>
    </row>
    <row r="252" spans="1:9" s="71" customFormat="1" x14ac:dyDescent="0.25">
      <c r="A252" s="19" t="s">
        <v>295</v>
      </c>
      <c r="B252" s="26">
        <f>COUNT(B256:B259)</f>
        <v>4</v>
      </c>
      <c r="D252" s="203"/>
    </row>
    <row r="253" spans="1:9" s="71" customFormat="1" x14ac:dyDescent="0.25">
      <c r="A253" s="48" t="s">
        <v>281</v>
      </c>
      <c r="B253" s="131">
        <f>STDEV(B256:B259)</f>
        <v>26.003845869409385</v>
      </c>
      <c r="D253" s="203"/>
    </row>
    <row r="254" spans="1:9" s="71" customFormat="1" x14ac:dyDescent="0.25">
      <c r="A254" s="19" t="s">
        <v>279</v>
      </c>
      <c r="B254" s="131">
        <f>AVERAGE(B256:B259)</f>
        <v>93.100000000000009</v>
      </c>
      <c r="D254" s="203"/>
    </row>
    <row r="255" spans="1:9" s="71" customFormat="1" ht="15.75" thickBot="1" x14ac:dyDescent="0.3">
      <c r="A255" s="48" t="s">
        <v>283</v>
      </c>
      <c r="B255" s="131">
        <f>CONFIDENCE(0.05,B253,B252)</f>
        <v>25.483300681786517</v>
      </c>
      <c r="D255" s="203"/>
    </row>
    <row r="256" spans="1:9" s="71" customFormat="1" x14ac:dyDescent="0.25">
      <c r="A256" s="82" t="s">
        <v>134</v>
      </c>
      <c r="B256" s="330">
        <v>78.400000000000006</v>
      </c>
      <c r="C256" s="331" t="s">
        <v>478</v>
      </c>
      <c r="D256" s="203" t="s">
        <v>12</v>
      </c>
    </row>
    <row r="257" spans="1:9" s="71" customFormat="1" x14ac:dyDescent="0.25">
      <c r="A257" s="40" t="s">
        <v>135</v>
      </c>
      <c r="B257" s="118">
        <f>60*1.12</f>
        <v>67.2</v>
      </c>
      <c r="C257" s="26" t="s">
        <v>478</v>
      </c>
      <c r="D257" s="203" t="s">
        <v>125</v>
      </c>
    </row>
    <row r="258" spans="1:9" s="71" customFormat="1" x14ac:dyDescent="0.25">
      <c r="A258" s="40" t="s">
        <v>155</v>
      </c>
      <c r="B258" s="49">
        <v>126</v>
      </c>
      <c r="C258" s="26" t="s">
        <v>478</v>
      </c>
      <c r="D258" s="203" t="s">
        <v>166</v>
      </c>
    </row>
    <row r="259" spans="1:9" s="71" customFormat="1" ht="15.75" thickBot="1" x14ac:dyDescent="0.3">
      <c r="A259" s="21" t="s">
        <v>165</v>
      </c>
      <c r="B259" s="332">
        <f>90*1.12</f>
        <v>100.80000000000001</v>
      </c>
      <c r="C259" s="28" t="s">
        <v>478</v>
      </c>
      <c r="D259" s="203" t="s">
        <v>332</v>
      </c>
    </row>
    <row r="260" spans="1:9" s="71" customFormat="1" ht="15.75" thickBot="1" x14ac:dyDescent="0.3">
      <c r="D260" s="203"/>
    </row>
    <row r="261" spans="1:9" s="71" customFormat="1" x14ac:dyDescent="0.25">
      <c r="A261" s="135" t="s">
        <v>450</v>
      </c>
      <c r="B261" s="204">
        <f>B264</f>
        <v>132.54285714285714</v>
      </c>
      <c r="D261" s="203"/>
    </row>
    <row r="262" spans="1:9" s="71" customFormat="1" x14ac:dyDescent="0.25">
      <c r="A262" s="19" t="s">
        <v>295</v>
      </c>
      <c r="B262" s="26">
        <f>COUNT(B266:B272)</f>
        <v>7</v>
      </c>
      <c r="D262" s="203"/>
    </row>
    <row r="263" spans="1:9" s="71" customFormat="1" x14ac:dyDescent="0.25">
      <c r="A263" s="48" t="s">
        <v>281</v>
      </c>
      <c r="B263" s="131">
        <f>STDEV(B266:B272)</f>
        <v>42.995653157920451</v>
      </c>
      <c r="D263" s="203"/>
    </row>
    <row r="264" spans="1:9" s="71" customFormat="1" x14ac:dyDescent="0.25">
      <c r="A264" s="19" t="s">
        <v>279</v>
      </c>
      <c r="B264" s="131">
        <f>AVERAGE(B266:B272)</f>
        <v>132.54285714285714</v>
      </c>
      <c r="D264" s="203"/>
    </row>
    <row r="265" spans="1:9" s="71" customFormat="1" ht="15.75" thickBot="1" x14ac:dyDescent="0.3">
      <c r="A265" s="48" t="s">
        <v>283</v>
      </c>
      <c r="B265" s="131">
        <f>CONFIDENCE(0.05,B263,B262)</f>
        <v>31.851040318446099</v>
      </c>
      <c r="D265" s="203"/>
    </row>
    <row r="266" spans="1:9" s="71" customFormat="1" x14ac:dyDescent="0.25">
      <c r="A266" s="184" t="s">
        <v>223</v>
      </c>
      <c r="B266" s="330">
        <v>92.7</v>
      </c>
      <c r="C266" s="18" t="s">
        <v>478</v>
      </c>
      <c r="D266" s="203" t="s">
        <v>12</v>
      </c>
    </row>
    <row r="267" spans="1:9" s="71" customFormat="1" x14ac:dyDescent="0.25">
      <c r="A267" s="86" t="s">
        <v>92</v>
      </c>
      <c r="B267" s="186">
        <v>170</v>
      </c>
      <c r="C267" s="26" t="s">
        <v>478</v>
      </c>
      <c r="D267" s="203" t="s">
        <v>27</v>
      </c>
    </row>
    <row r="268" spans="1:9" s="71" customFormat="1" x14ac:dyDescent="0.25">
      <c r="A268" s="86" t="s">
        <v>156</v>
      </c>
      <c r="B268" s="179">
        <v>120</v>
      </c>
      <c r="C268" s="20" t="s">
        <v>478</v>
      </c>
      <c r="D268" s="203" t="s">
        <v>140</v>
      </c>
    </row>
    <row r="269" spans="1:9" s="71" customFormat="1" x14ac:dyDescent="0.25">
      <c r="A269" s="86" t="s">
        <v>141</v>
      </c>
      <c r="B269" s="179">
        <v>185</v>
      </c>
      <c r="C269" s="20" t="s">
        <v>478</v>
      </c>
      <c r="D269" s="203" t="s">
        <v>139</v>
      </c>
    </row>
    <row r="270" spans="1:9" s="71" customFormat="1" x14ac:dyDescent="0.25">
      <c r="A270" s="86" t="s">
        <v>375</v>
      </c>
      <c r="B270" s="186">
        <v>175.3</v>
      </c>
      <c r="C270" s="26" t="s">
        <v>478</v>
      </c>
      <c r="D270" s="203" t="s">
        <v>89</v>
      </c>
    </row>
    <row r="271" spans="1:9" x14ac:dyDescent="0.25">
      <c r="A271" s="86" t="s">
        <v>136</v>
      </c>
      <c r="B271" s="179">
        <f>90*1.12</f>
        <v>100.80000000000001</v>
      </c>
      <c r="C271" s="20" t="s">
        <v>478</v>
      </c>
      <c r="D271" s="203" t="s">
        <v>332</v>
      </c>
      <c r="E271" s="71"/>
      <c r="F271" s="71"/>
      <c r="G271" s="71"/>
      <c r="H271" s="71"/>
      <c r="I271" s="71"/>
    </row>
    <row r="272" spans="1:9" ht="15.75" thickBot="1" x14ac:dyDescent="0.3">
      <c r="A272" s="185" t="s">
        <v>126</v>
      </c>
      <c r="B272" s="180">
        <f>75*1.12</f>
        <v>84.000000000000014</v>
      </c>
      <c r="C272" s="23" t="s">
        <v>478</v>
      </c>
      <c r="D272" s="203" t="s">
        <v>250</v>
      </c>
      <c r="E272" s="71"/>
      <c r="F272" s="71"/>
      <c r="G272" s="71"/>
      <c r="H272" s="71"/>
      <c r="I272" s="71"/>
    </row>
    <row r="273" spans="1:9" ht="15.75" thickBot="1" x14ac:dyDescent="0.3">
      <c r="A273" s="71"/>
      <c r="B273" s="71"/>
      <c r="C273" s="71"/>
      <c r="E273" s="71"/>
      <c r="F273" s="71"/>
      <c r="G273" s="71"/>
      <c r="H273" s="71"/>
      <c r="I273" s="71"/>
    </row>
    <row r="274" spans="1:9" x14ac:dyDescent="0.25">
      <c r="A274" s="137" t="s">
        <v>454</v>
      </c>
      <c r="B274" s="166">
        <f>B277</f>
        <v>14.56</v>
      </c>
      <c r="C274" s="71"/>
      <c r="E274" s="71"/>
      <c r="F274" s="71"/>
      <c r="G274" s="71"/>
      <c r="H274" s="71"/>
      <c r="I274" s="71"/>
    </row>
    <row r="275" spans="1:9" x14ac:dyDescent="0.25">
      <c r="A275" s="19" t="s">
        <v>295</v>
      </c>
      <c r="B275" s="26">
        <f>COUNT(B279:B280)</f>
        <v>2</v>
      </c>
      <c r="C275" s="10"/>
      <c r="E275" s="71"/>
      <c r="F275" s="71"/>
      <c r="G275" s="71"/>
      <c r="H275" s="71"/>
      <c r="I275" s="71"/>
    </row>
    <row r="276" spans="1:9" x14ac:dyDescent="0.25">
      <c r="A276" s="48" t="s">
        <v>281</v>
      </c>
      <c r="B276" s="131">
        <f>STDEV(B279:B280)</f>
        <v>3.1678383797157288</v>
      </c>
      <c r="C276" s="10"/>
      <c r="E276" s="71"/>
      <c r="F276" s="71"/>
      <c r="G276" s="71"/>
      <c r="H276" s="71"/>
      <c r="I276" s="71"/>
    </row>
    <row r="277" spans="1:9" x14ac:dyDescent="0.25">
      <c r="A277" s="19" t="s">
        <v>279</v>
      </c>
      <c r="B277" s="26">
        <f>AVERAGE(B279:B280)</f>
        <v>14.56</v>
      </c>
      <c r="C277" s="71"/>
      <c r="E277" s="71"/>
      <c r="F277" s="71"/>
      <c r="G277" s="71"/>
      <c r="H277" s="71"/>
      <c r="I277" s="71"/>
    </row>
    <row r="278" spans="1:9" ht="15.75" thickBot="1" x14ac:dyDescent="0.3">
      <c r="A278" s="89" t="s">
        <v>283</v>
      </c>
      <c r="B278" s="132">
        <f>CONFIDENCE(0.05,B276,B275)</f>
        <v>4.3903193253697141</v>
      </c>
      <c r="C278" s="10"/>
      <c r="E278" s="71"/>
      <c r="F278" s="71"/>
      <c r="G278" s="71"/>
      <c r="H278" s="71"/>
      <c r="I278" s="71"/>
    </row>
    <row r="279" spans="1:9" x14ac:dyDescent="0.25">
      <c r="A279" s="184" t="s">
        <v>389</v>
      </c>
      <c r="B279" s="29">
        <v>16.8</v>
      </c>
      <c r="C279" s="30" t="s">
        <v>478</v>
      </c>
      <c r="D279" s="203" t="s">
        <v>120</v>
      </c>
      <c r="E279" s="71"/>
      <c r="F279" s="71"/>
      <c r="G279" s="71"/>
      <c r="H279" s="71"/>
      <c r="I279" s="71"/>
    </row>
    <row r="280" spans="1:9" ht="15.75" thickBot="1" x14ac:dyDescent="0.3">
      <c r="A280" s="185" t="s">
        <v>390</v>
      </c>
      <c r="B280" s="120">
        <f>11*1.12</f>
        <v>12.32</v>
      </c>
      <c r="C280" s="28" t="s">
        <v>478</v>
      </c>
      <c r="D280" s="203" t="s">
        <v>250</v>
      </c>
      <c r="E280" s="71"/>
      <c r="F280" s="71"/>
      <c r="G280" s="71"/>
      <c r="H280" s="71"/>
      <c r="I280" s="71"/>
    </row>
    <row r="281" spans="1:9" ht="15.75" thickBot="1" x14ac:dyDescent="0.3">
      <c r="A281" s="71"/>
      <c r="B281" s="71"/>
      <c r="C281" s="71"/>
      <c r="E281" s="71"/>
      <c r="F281" s="71"/>
      <c r="G281" s="71"/>
      <c r="H281" s="71"/>
      <c r="I281" s="71"/>
    </row>
    <row r="282" spans="1:9" x14ac:dyDescent="0.25">
      <c r="A282" s="135" t="s">
        <v>499</v>
      </c>
      <c r="B282" s="166">
        <f>B285</f>
        <v>8.1960000000000015</v>
      </c>
      <c r="C282" s="71"/>
      <c r="E282" s="71"/>
      <c r="F282" s="71"/>
      <c r="G282" s="71"/>
      <c r="H282" s="71"/>
      <c r="I282" s="71"/>
    </row>
    <row r="283" spans="1:9" x14ac:dyDescent="0.25">
      <c r="A283" s="19" t="s">
        <v>295</v>
      </c>
      <c r="B283" s="26">
        <f>COUNT(B287:B291)</f>
        <v>5</v>
      </c>
      <c r="C283" s="71"/>
      <c r="E283" s="71"/>
      <c r="F283" s="71"/>
      <c r="G283" s="71"/>
      <c r="H283" s="71"/>
      <c r="I283" s="71"/>
    </row>
    <row r="284" spans="1:9" x14ac:dyDescent="0.25">
      <c r="A284" s="48" t="s">
        <v>281</v>
      </c>
      <c r="B284" s="131">
        <f>STDEV(B287:B291)</f>
        <v>1.8047936170099916</v>
      </c>
      <c r="C284" s="71"/>
      <c r="E284" s="71"/>
      <c r="F284" s="71"/>
      <c r="G284" s="71"/>
      <c r="H284" s="71"/>
      <c r="I284" s="71"/>
    </row>
    <row r="285" spans="1:9" x14ac:dyDescent="0.25">
      <c r="A285" s="19" t="s">
        <v>279</v>
      </c>
      <c r="B285" s="37">
        <f>AVERAGE(B287:B291)</f>
        <v>8.1960000000000015</v>
      </c>
      <c r="C285" s="71"/>
      <c r="E285" s="71"/>
      <c r="F285" s="71"/>
      <c r="G285" s="71"/>
      <c r="H285" s="71"/>
      <c r="I285" s="71"/>
    </row>
    <row r="286" spans="1:9" ht="15.75" thickBot="1" x14ac:dyDescent="0.3">
      <c r="A286" s="48" t="s">
        <v>283</v>
      </c>
      <c r="B286" s="131">
        <f>CONFIDENCE(0.05,B284,B283)</f>
        <v>1.5819422863979953</v>
      </c>
      <c r="C286" s="71"/>
      <c r="E286" s="71"/>
      <c r="F286" s="71"/>
      <c r="G286" s="71"/>
      <c r="H286" s="71"/>
      <c r="I286" s="71"/>
    </row>
    <row r="287" spans="1:9" x14ac:dyDescent="0.25">
      <c r="A287" s="184" t="s">
        <v>394</v>
      </c>
      <c r="B287" s="121">
        <v>6.3</v>
      </c>
      <c r="C287" s="30" t="s">
        <v>478</v>
      </c>
      <c r="D287" s="203" t="s">
        <v>27</v>
      </c>
      <c r="E287" s="71"/>
      <c r="F287" s="71"/>
      <c r="G287" s="71"/>
      <c r="H287" s="71"/>
      <c r="I287" s="71"/>
    </row>
    <row r="288" spans="1:9" x14ac:dyDescent="0.25">
      <c r="A288" s="86" t="s">
        <v>395</v>
      </c>
      <c r="B288" s="10">
        <v>7.8</v>
      </c>
      <c r="C288" s="26" t="s">
        <v>478</v>
      </c>
      <c r="D288" s="203" t="s">
        <v>89</v>
      </c>
      <c r="E288" s="71"/>
      <c r="F288" s="71"/>
      <c r="G288" s="71"/>
      <c r="H288" s="71"/>
      <c r="I288" s="71"/>
    </row>
    <row r="289" spans="1:9" x14ac:dyDescent="0.25">
      <c r="A289" s="86" t="s">
        <v>396</v>
      </c>
      <c r="B289" s="123">
        <f>9*1.12</f>
        <v>10.080000000000002</v>
      </c>
      <c r="C289" s="26" t="s">
        <v>478</v>
      </c>
      <c r="D289" s="203" t="s">
        <v>332</v>
      </c>
      <c r="E289" s="71"/>
      <c r="F289" s="71"/>
      <c r="G289" s="71"/>
      <c r="H289" s="71"/>
      <c r="I289" s="71"/>
    </row>
    <row r="290" spans="1:9" x14ac:dyDescent="0.25">
      <c r="A290" s="86" t="s">
        <v>397</v>
      </c>
      <c r="B290" s="36">
        <f>6*1.12</f>
        <v>6.7200000000000006</v>
      </c>
      <c r="C290" s="59" t="s">
        <v>478</v>
      </c>
      <c r="D290" s="203" t="s">
        <v>332</v>
      </c>
      <c r="E290" s="71"/>
      <c r="F290" s="71"/>
      <c r="G290" s="71"/>
      <c r="H290" s="71"/>
      <c r="I290" s="71"/>
    </row>
    <row r="291" spans="1:9" ht="15.75" thickBot="1" x14ac:dyDescent="0.3">
      <c r="A291" s="185" t="s">
        <v>398</v>
      </c>
      <c r="B291" s="138">
        <f>9*1.12</f>
        <v>10.080000000000002</v>
      </c>
      <c r="C291" s="28" t="s">
        <v>478</v>
      </c>
      <c r="D291" s="203" t="s">
        <v>250</v>
      </c>
      <c r="E291" s="71"/>
      <c r="F291" s="71"/>
      <c r="G291" s="71"/>
      <c r="H291" s="71"/>
      <c r="I291" s="71"/>
    </row>
    <row r="292" spans="1:9" x14ac:dyDescent="0.25">
      <c r="A292" s="71"/>
      <c r="B292" s="71"/>
      <c r="C292" s="71"/>
      <c r="E292" s="71"/>
      <c r="F292" s="71"/>
      <c r="G292" s="71"/>
      <c r="H292" s="71"/>
      <c r="I292" s="71"/>
    </row>
    <row r="293" spans="1:9" x14ac:dyDescent="0.25">
      <c r="A293" s="199" t="s">
        <v>500</v>
      </c>
      <c r="B293" s="200">
        <f>5*1.12</f>
        <v>5.6000000000000005</v>
      </c>
      <c r="C293" s="16" t="s">
        <v>478</v>
      </c>
      <c r="D293" s="248" t="s">
        <v>441</v>
      </c>
      <c r="E293" s="71"/>
      <c r="F293" s="71"/>
      <c r="G293" s="71"/>
      <c r="H293" s="71"/>
      <c r="I293" s="71"/>
    </row>
    <row r="294" spans="1:9" ht="15.75" thickBot="1" x14ac:dyDescent="0.3">
      <c r="A294" s="71"/>
      <c r="B294" s="71"/>
      <c r="C294" s="71"/>
      <c r="E294" s="71"/>
      <c r="F294" s="71"/>
      <c r="G294" s="71"/>
      <c r="H294" s="71"/>
      <c r="I294" s="71"/>
    </row>
    <row r="295" spans="1:9" x14ac:dyDescent="0.25">
      <c r="A295" s="39" t="s">
        <v>453</v>
      </c>
      <c r="B295" s="166">
        <f>B298</f>
        <v>72.306666666666658</v>
      </c>
      <c r="C295" s="71"/>
      <c r="E295" s="71"/>
      <c r="F295" s="71"/>
      <c r="G295" s="71"/>
      <c r="H295" s="71"/>
      <c r="I295" s="71"/>
    </row>
    <row r="296" spans="1:9" x14ac:dyDescent="0.25">
      <c r="A296" s="19" t="s">
        <v>295</v>
      </c>
      <c r="B296" s="26">
        <f>COUNT(B300:B302)</f>
        <v>3</v>
      </c>
      <c r="C296" s="71"/>
      <c r="E296" s="71"/>
      <c r="F296" s="71"/>
      <c r="G296" s="71"/>
      <c r="H296" s="71"/>
      <c r="I296" s="71"/>
    </row>
    <row r="297" spans="1:9" x14ac:dyDescent="0.25">
      <c r="A297" s="48" t="s">
        <v>281</v>
      </c>
      <c r="B297" s="131">
        <f>STDEV(B300:B302)</f>
        <v>9.2594888267838584</v>
      </c>
      <c r="C297" s="71"/>
      <c r="E297" s="71"/>
      <c r="F297" s="71"/>
      <c r="G297" s="71"/>
      <c r="H297" s="71"/>
      <c r="I297" s="71"/>
    </row>
    <row r="298" spans="1:9" x14ac:dyDescent="0.25">
      <c r="A298" s="19" t="s">
        <v>279</v>
      </c>
      <c r="B298" s="131">
        <f>AVERAGE(B300:B302)</f>
        <v>72.306666666666658</v>
      </c>
      <c r="C298" s="71"/>
      <c r="E298" s="71"/>
      <c r="F298" s="71"/>
      <c r="G298" s="71"/>
      <c r="H298" s="71"/>
      <c r="I298" s="71"/>
    </row>
    <row r="299" spans="1:9" ht="15.75" thickBot="1" x14ac:dyDescent="0.3">
      <c r="A299" s="48" t="s">
        <v>283</v>
      </c>
      <c r="B299" s="131">
        <f>CONFIDENCE(0.05,B297,B296)</f>
        <v>10.477905461226321</v>
      </c>
      <c r="C299" s="71"/>
      <c r="E299" s="71"/>
      <c r="F299" s="71"/>
      <c r="G299" s="71"/>
      <c r="H299" s="71"/>
      <c r="I299" s="71"/>
    </row>
    <row r="300" spans="1:9" x14ac:dyDescent="0.25">
      <c r="A300" s="184" t="s">
        <v>386</v>
      </c>
      <c r="B300" s="305">
        <v>73</v>
      </c>
      <c r="C300" s="98" t="s">
        <v>478</v>
      </c>
      <c r="D300" s="203" t="s">
        <v>12</v>
      </c>
      <c r="E300" s="71"/>
      <c r="F300" s="71"/>
      <c r="G300" s="71"/>
      <c r="H300" s="71"/>
      <c r="I300" s="71"/>
    </row>
    <row r="301" spans="1:9" x14ac:dyDescent="0.25">
      <c r="A301" s="86" t="s">
        <v>387</v>
      </c>
      <c r="B301" s="10">
        <v>81.2</v>
      </c>
      <c r="C301" s="26" t="s">
        <v>478</v>
      </c>
      <c r="D301" s="203" t="s">
        <v>89</v>
      </c>
      <c r="E301" s="71"/>
      <c r="F301" s="71"/>
      <c r="G301" s="71"/>
      <c r="H301" s="71"/>
      <c r="I301" s="71"/>
    </row>
    <row r="302" spans="1:9" ht="15.75" thickBot="1" x14ac:dyDescent="0.3">
      <c r="A302" s="185" t="s">
        <v>388</v>
      </c>
      <c r="B302" s="126">
        <f>56*1.12</f>
        <v>62.720000000000006</v>
      </c>
      <c r="C302" s="54" t="s">
        <v>478</v>
      </c>
      <c r="D302" s="203" t="s">
        <v>250</v>
      </c>
      <c r="E302" s="71"/>
      <c r="F302" s="71"/>
      <c r="G302" s="71"/>
      <c r="H302" s="71"/>
      <c r="I302" s="71"/>
    </row>
    <row r="303" spans="1:9" ht="15.75" thickBot="1" x14ac:dyDescent="0.3">
      <c r="A303" s="71"/>
      <c r="B303" s="71"/>
      <c r="C303" s="71"/>
      <c r="E303" s="71"/>
      <c r="F303" s="71"/>
      <c r="G303" s="71"/>
      <c r="H303" s="71"/>
      <c r="I303" s="71"/>
    </row>
    <row r="304" spans="1:9" x14ac:dyDescent="0.25">
      <c r="A304" s="32" t="s">
        <v>456</v>
      </c>
      <c r="B304" s="166">
        <f>B307</f>
        <v>5.3612000000000002</v>
      </c>
      <c r="C304" s="71"/>
      <c r="E304" s="71"/>
      <c r="F304" s="71"/>
      <c r="G304" s="71"/>
      <c r="H304" s="71"/>
      <c r="I304" s="71"/>
    </row>
    <row r="305" spans="1:9" x14ac:dyDescent="0.25">
      <c r="A305" s="19" t="s">
        <v>295</v>
      </c>
      <c r="B305" s="26">
        <f>COUNT(B309:B313)</f>
        <v>5</v>
      </c>
      <c r="C305" s="71"/>
      <c r="E305" s="71"/>
      <c r="F305" s="71"/>
      <c r="G305" s="71"/>
      <c r="H305" s="71"/>
      <c r="I305" s="71"/>
    </row>
    <row r="306" spans="1:9" x14ac:dyDescent="0.25">
      <c r="A306" s="48" t="s">
        <v>281</v>
      </c>
      <c r="B306" s="131">
        <f>STDEV(B309:B313)</f>
        <v>2.8934801191644635</v>
      </c>
      <c r="C306" s="71"/>
      <c r="E306" s="10"/>
      <c r="F306" s="71"/>
      <c r="G306" s="71"/>
      <c r="H306" s="71"/>
      <c r="I306" s="71"/>
    </row>
    <row r="307" spans="1:9" x14ac:dyDescent="0.25">
      <c r="A307" s="19" t="s">
        <v>279</v>
      </c>
      <c r="B307" s="37">
        <f>AVERAGE(B309:B313)</f>
        <v>5.3612000000000002</v>
      </c>
      <c r="C307" s="71"/>
      <c r="E307" s="71"/>
      <c r="F307" s="71"/>
      <c r="G307" s="71"/>
      <c r="H307" s="71"/>
      <c r="I307" s="71"/>
    </row>
    <row r="308" spans="1:9" ht="15.75" thickBot="1" x14ac:dyDescent="0.3">
      <c r="A308" s="48" t="s">
        <v>283</v>
      </c>
      <c r="B308" s="131">
        <f>CONFIDENCE(0.05,B306,B305)</f>
        <v>2.5362005451578646</v>
      </c>
      <c r="C308" s="71"/>
      <c r="E308" s="71"/>
      <c r="F308" s="71"/>
      <c r="G308" s="71"/>
      <c r="H308" s="71"/>
      <c r="I308" s="71"/>
    </row>
    <row r="309" spans="1:9" x14ac:dyDescent="0.25">
      <c r="A309" s="184" t="s">
        <v>399</v>
      </c>
      <c r="B309" s="187">
        <v>4</v>
      </c>
      <c r="C309" s="98" t="s">
        <v>478</v>
      </c>
      <c r="D309" s="203" t="s">
        <v>207</v>
      </c>
      <c r="E309" s="71"/>
      <c r="F309" s="71"/>
      <c r="G309" s="71"/>
      <c r="H309" s="71"/>
      <c r="I309" s="71"/>
    </row>
    <row r="310" spans="1:9" x14ac:dyDescent="0.25">
      <c r="A310" s="86" t="s">
        <v>400</v>
      </c>
      <c r="B310" s="122">
        <v>10</v>
      </c>
      <c r="C310" s="59" t="s">
        <v>478</v>
      </c>
      <c r="D310" s="203" t="s">
        <v>328</v>
      </c>
      <c r="E310" s="71"/>
      <c r="F310" s="71"/>
      <c r="G310" s="71"/>
      <c r="H310" s="71"/>
      <c r="I310" s="71"/>
    </row>
    <row r="311" spans="1:9" x14ac:dyDescent="0.25">
      <c r="A311" s="86" t="s">
        <v>401</v>
      </c>
      <c r="B311" s="122">
        <f>(140000/10000)*0.454</f>
        <v>6.3559999999999999</v>
      </c>
      <c r="C311" s="59" t="s">
        <v>478</v>
      </c>
      <c r="D311" s="203" t="s">
        <v>173</v>
      </c>
      <c r="E311" s="71"/>
      <c r="F311" s="71"/>
      <c r="G311" s="71"/>
      <c r="H311" s="71"/>
      <c r="I311" s="71"/>
    </row>
    <row r="312" spans="1:9" x14ac:dyDescent="0.25">
      <c r="A312" s="86" t="s">
        <v>402</v>
      </c>
      <c r="B312" s="49">
        <v>3.25</v>
      </c>
      <c r="C312" s="59" t="s">
        <v>478</v>
      </c>
      <c r="D312" s="203" t="s">
        <v>198</v>
      </c>
      <c r="E312" s="71"/>
      <c r="F312" s="71"/>
      <c r="G312" s="71"/>
      <c r="H312" s="71"/>
      <c r="I312" s="71"/>
    </row>
    <row r="313" spans="1:9" ht="15.75" thickBot="1" x14ac:dyDescent="0.3">
      <c r="A313" s="185" t="s">
        <v>403</v>
      </c>
      <c r="B313" s="126">
        <v>3.2</v>
      </c>
      <c r="C313" s="54" t="s">
        <v>478</v>
      </c>
      <c r="D313" s="203" t="s">
        <v>170</v>
      </c>
      <c r="E313" s="71"/>
      <c r="F313" s="71"/>
      <c r="G313" s="71"/>
      <c r="H313" s="71"/>
      <c r="I313" s="71"/>
    </row>
    <row r="314" spans="1:9" x14ac:dyDescent="0.25">
      <c r="A314" s="71"/>
      <c r="B314" s="71"/>
      <c r="C314" s="71"/>
      <c r="E314" s="71"/>
      <c r="F314" s="71"/>
      <c r="G314" s="71"/>
      <c r="H314" s="71"/>
      <c r="I314" s="71"/>
    </row>
    <row r="315" spans="1:9" x14ac:dyDescent="0.25">
      <c r="A315" s="13" t="s">
        <v>612</v>
      </c>
      <c r="B315" s="364">
        <v>50</v>
      </c>
      <c r="C315" s="13" t="s">
        <v>478</v>
      </c>
      <c r="D315" s="203" t="s">
        <v>618</v>
      </c>
      <c r="E315" s="71"/>
      <c r="F315" s="71"/>
      <c r="G315" s="71"/>
      <c r="H315" s="71"/>
      <c r="I315" s="71"/>
    </row>
    <row r="316" spans="1:9" ht="15.75" thickBot="1" x14ac:dyDescent="0.3">
      <c r="A316" s="118"/>
      <c r="B316" s="10"/>
      <c r="C316" s="71"/>
      <c r="E316" s="71"/>
      <c r="F316" s="71"/>
      <c r="G316" s="71"/>
      <c r="H316" s="71"/>
      <c r="I316" s="71"/>
    </row>
    <row r="317" spans="1:9" x14ac:dyDescent="0.25">
      <c r="A317" s="135" t="s">
        <v>455</v>
      </c>
      <c r="B317" s="168">
        <f>B320</f>
        <v>0.77533333333333332</v>
      </c>
      <c r="C317" s="71"/>
      <c r="E317" s="71"/>
      <c r="F317" s="71"/>
      <c r="G317" s="71"/>
      <c r="H317" s="71"/>
      <c r="I317" s="71"/>
    </row>
    <row r="318" spans="1:9" x14ac:dyDescent="0.25">
      <c r="A318" s="19" t="s">
        <v>295</v>
      </c>
      <c r="B318" s="26">
        <f>COUNT(B322:B325)</f>
        <v>4</v>
      </c>
      <c r="C318" s="71"/>
      <c r="E318" s="71"/>
      <c r="F318" s="71"/>
      <c r="G318" s="71"/>
      <c r="H318" s="71"/>
      <c r="I318" s="71"/>
    </row>
    <row r="319" spans="1:9" x14ac:dyDescent="0.25">
      <c r="A319" s="48" t="s">
        <v>281</v>
      </c>
      <c r="B319" s="37">
        <f>STDEV(B322:B325)</f>
        <v>0.55145705987763827</v>
      </c>
      <c r="C319" s="71"/>
      <c r="E319" s="71"/>
      <c r="F319" s="71"/>
      <c r="G319" s="71"/>
      <c r="H319" s="71"/>
      <c r="I319" s="71"/>
    </row>
    <row r="320" spans="1:9" x14ac:dyDescent="0.25">
      <c r="A320" s="19" t="s">
        <v>279</v>
      </c>
      <c r="B320" s="37">
        <f>AVERAGE(B322:B325)</f>
        <v>0.77533333333333332</v>
      </c>
      <c r="C320" s="71"/>
      <c r="E320" s="71"/>
      <c r="F320" s="71"/>
      <c r="G320" s="71"/>
      <c r="H320" s="71"/>
      <c r="I320" s="71"/>
    </row>
    <row r="321" spans="1:9" ht="15.75" thickBot="1" x14ac:dyDescent="0.3">
      <c r="A321" s="48" t="s">
        <v>283</v>
      </c>
      <c r="B321" s="37">
        <f>CONFIDENCE(0.05,B319,B318)</f>
        <v>0.54041798819025944</v>
      </c>
      <c r="C321" s="71"/>
      <c r="E321" s="71"/>
      <c r="F321" s="71"/>
      <c r="G321" s="71"/>
      <c r="H321" s="71"/>
      <c r="I321" s="71"/>
    </row>
    <row r="322" spans="1:9" x14ac:dyDescent="0.25">
      <c r="A322" s="184" t="s">
        <v>391</v>
      </c>
      <c r="B322" s="275">
        <f>8.3/15</f>
        <v>0.55333333333333334</v>
      </c>
      <c r="C322" s="30" t="s">
        <v>478</v>
      </c>
      <c r="D322" s="203" t="s">
        <v>372</v>
      </c>
      <c r="E322" s="71"/>
      <c r="F322" s="71"/>
      <c r="G322" s="71"/>
      <c r="H322" s="71"/>
      <c r="I322" s="71"/>
    </row>
    <row r="323" spans="1:9" x14ac:dyDescent="0.25">
      <c r="A323" s="86" t="s">
        <v>392</v>
      </c>
      <c r="B323" s="73">
        <f>10/20</f>
        <v>0.5</v>
      </c>
      <c r="C323" s="59" t="s">
        <v>478</v>
      </c>
      <c r="D323" s="203" t="s">
        <v>213</v>
      </c>
      <c r="E323" s="8"/>
      <c r="F323" s="71"/>
      <c r="G323" s="71"/>
      <c r="H323" s="71"/>
      <c r="I323" s="71"/>
    </row>
    <row r="324" spans="1:9" s="8" customFormat="1" x14ac:dyDescent="0.25">
      <c r="A324" s="86" t="s">
        <v>393</v>
      </c>
      <c r="B324" s="118">
        <f>6*1.12/15</f>
        <v>0.44800000000000006</v>
      </c>
      <c r="C324" s="26" t="s">
        <v>478</v>
      </c>
      <c r="D324" s="203" t="s">
        <v>272</v>
      </c>
      <c r="E324" s="71"/>
    </row>
    <row r="325" spans="1:9" ht="15.75" thickBot="1" x14ac:dyDescent="0.3">
      <c r="A325" s="185" t="s">
        <v>617</v>
      </c>
      <c r="B325" s="58">
        <v>1.6</v>
      </c>
      <c r="C325" s="54" t="s">
        <v>478</v>
      </c>
      <c r="D325" s="203" t="s">
        <v>337</v>
      </c>
      <c r="E325" s="8"/>
      <c r="F325" s="8"/>
      <c r="G325" s="8"/>
      <c r="H325" s="8"/>
      <c r="I325" s="71"/>
    </row>
    <row r="326" spans="1:9" s="71" customFormat="1" x14ac:dyDescent="0.25">
      <c r="A326" s="69"/>
      <c r="B326" s="118"/>
      <c r="C326" s="10"/>
      <c r="D326" s="203"/>
    </row>
    <row r="327" spans="1:9" s="71" customFormat="1" ht="15.75" thickBot="1" x14ac:dyDescent="0.3">
      <c r="A327" s="103" t="s">
        <v>634</v>
      </c>
      <c r="B327" s="118"/>
      <c r="C327" s="10"/>
      <c r="D327" s="203"/>
    </row>
    <row r="328" spans="1:9" s="71" customFormat="1" x14ac:dyDescent="0.25">
      <c r="A328" s="135" t="s">
        <v>632</v>
      </c>
      <c r="B328" s="204">
        <f>B331</f>
        <v>608.102766798419</v>
      </c>
      <c r="C328" s="10"/>
      <c r="D328" s="203"/>
    </row>
    <row r="329" spans="1:9" s="71" customFormat="1" x14ac:dyDescent="0.25">
      <c r="A329" s="19" t="s">
        <v>295</v>
      </c>
      <c r="B329" s="26">
        <f>COUNT(B333:B335)</f>
        <v>3</v>
      </c>
      <c r="C329" s="10"/>
      <c r="D329" s="203"/>
    </row>
    <row r="330" spans="1:9" s="71" customFormat="1" x14ac:dyDescent="0.25">
      <c r="A330" s="48" t="s">
        <v>281</v>
      </c>
      <c r="B330" s="37">
        <f>STDEV(B333:B335)</f>
        <v>299.56626759215061</v>
      </c>
      <c r="C330" s="10"/>
      <c r="D330" s="203"/>
    </row>
    <row r="331" spans="1:9" s="71" customFormat="1" x14ac:dyDescent="0.25">
      <c r="A331" s="19" t="s">
        <v>279</v>
      </c>
      <c r="B331" s="37">
        <f>AVERAGE(B333:B335)</f>
        <v>608.102766798419</v>
      </c>
      <c r="C331" s="10"/>
      <c r="D331" s="203"/>
    </row>
    <row r="332" spans="1:9" s="71" customFormat="1" ht="15.75" thickBot="1" x14ac:dyDescent="0.3">
      <c r="A332" s="48" t="s">
        <v>283</v>
      </c>
      <c r="B332" s="37">
        <f>CONFIDENCE(0.05,B330,B329)</f>
        <v>338.9849148177226</v>
      </c>
      <c r="C332" s="10"/>
      <c r="D332" s="203"/>
    </row>
    <row r="333" spans="1:9" s="71" customFormat="1" x14ac:dyDescent="0.25">
      <c r="A333" s="82" t="s">
        <v>635</v>
      </c>
      <c r="B333" s="119">
        <f>15300/23</f>
        <v>665.21739130434787</v>
      </c>
      <c r="C333" s="98" t="s">
        <v>607</v>
      </c>
      <c r="D333" s="203" t="s">
        <v>536</v>
      </c>
    </row>
    <row r="334" spans="1:9" s="71" customFormat="1" x14ac:dyDescent="0.25">
      <c r="A334" s="40" t="s">
        <v>636</v>
      </c>
      <c r="B334" s="12">
        <f>6250/22</f>
        <v>284.09090909090907</v>
      </c>
      <c r="C334" s="59" t="s">
        <v>607</v>
      </c>
      <c r="D334" s="203" t="s">
        <v>333</v>
      </c>
    </row>
    <row r="335" spans="1:9" s="71" customFormat="1" ht="15.75" thickBot="1" x14ac:dyDescent="0.3">
      <c r="A335" s="21" t="s">
        <v>682</v>
      </c>
      <c r="B335" s="120">
        <v>875</v>
      </c>
      <c r="C335" s="54" t="s">
        <v>607</v>
      </c>
      <c r="D335" s="50" t="s">
        <v>640</v>
      </c>
    </row>
    <row r="336" spans="1:9" s="71" customFormat="1" x14ac:dyDescent="0.25">
      <c r="A336" s="103"/>
      <c r="B336" s="118"/>
      <c r="C336" s="10"/>
      <c r="D336" s="203"/>
    </row>
    <row r="337" spans="1:9" x14ac:dyDescent="0.25">
      <c r="A337" s="118"/>
      <c r="B337" s="10"/>
      <c r="C337" s="10"/>
      <c r="E337" s="71"/>
      <c r="F337" s="71"/>
      <c r="G337" s="71"/>
      <c r="H337" s="71"/>
      <c r="I337" s="71"/>
    </row>
    <row r="338" spans="1:9" s="71" customFormat="1" ht="24" thickBot="1" x14ac:dyDescent="0.4">
      <c r="A338" s="159" t="s">
        <v>380</v>
      </c>
      <c r="D338" s="203"/>
      <c r="E338" s="281"/>
    </row>
    <row r="339" spans="1:9" s="71" customFormat="1" x14ac:dyDescent="0.25">
      <c r="A339" s="39" t="s">
        <v>307</v>
      </c>
      <c r="B339" s="176">
        <f>B342</f>
        <v>1.07</v>
      </c>
      <c r="C339" s="129"/>
      <c r="D339" s="69"/>
      <c r="E339" s="10"/>
    </row>
    <row r="340" spans="1:9" s="71" customFormat="1" x14ac:dyDescent="0.25">
      <c r="A340" s="19" t="s">
        <v>295</v>
      </c>
      <c r="B340" s="26">
        <f>COUNT(B344:B345)</f>
        <v>2</v>
      </c>
      <c r="C340" s="129"/>
      <c r="D340" s="69"/>
      <c r="E340" s="10"/>
    </row>
    <row r="341" spans="1:9" s="71" customFormat="1" x14ac:dyDescent="0.25">
      <c r="A341" s="48" t="s">
        <v>281</v>
      </c>
      <c r="B341" s="131">
        <f>STDEV(B344:B345)</f>
        <v>1.2020815280171306</v>
      </c>
      <c r="C341" s="129"/>
      <c r="D341" s="203"/>
    </row>
    <row r="342" spans="1:9" s="71" customFormat="1" x14ac:dyDescent="0.25">
      <c r="A342" s="19" t="s">
        <v>279</v>
      </c>
      <c r="B342" s="26">
        <f>AVERAGE(B344:B345)</f>
        <v>1.07</v>
      </c>
      <c r="D342" s="203"/>
    </row>
    <row r="343" spans="1:9" s="71" customFormat="1" ht="15.75" thickBot="1" x14ac:dyDescent="0.3">
      <c r="A343" s="89" t="s">
        <v>283</v>
      </c>
      <c r="B343" s="124">
        <f>CONFIDENCE(0.05,B341,B340)</f>
        <v>1.6659693868590453</v>
      </c>
      <c r="C343" s="129"/>
      <c r="D343" s="203"/>
    </row>
    <row r="344" spans="1:9" s="71" customFormat="1" x14ac:dyDescent="0.25">
      <c r="A344" s="82" t="s">
        <v>100</v>
      </c>
      <c r="B344" s="128">
        <v>0.22</v>
      </c>
      <c r="C344" s="18" t="s">
        <v>478</v>
      </c>
      <c r="D344" s="203" t="s">
        <v>89</v>
      </c>
    </row>
    <row r="345" spans="1:9" s="71" customFormat="1" ht="15.75" thickBot="1" x14ac:dyDescent="0.3">
      <c r="A345" s="21" t="s">
        <v>101</v>
      </c>
      <c r="B345" s="45">
        <v>1.92</v>
      </c>
      <c r="C345" s="23" t="s">
        <v>478</v>
      </c>
      <c r="D345" s="203" t="s">
        <v>12</v>
      </c>
    </row>
    <row r="346" spans="1:9" s="71" customFormat="1" ht="24" thickBot="1" x14ac:dyDescent="0.4">
      <c r="A346" s="159"/>
      <c r="D346" s="203"/>
    </row>
    <row r="347" spans="1:9" s="71" customFormat="1" x14ac:dyDescent="0.25">
      <c r="A347" s="39" t="s">
        <v>306</v>
      </c>
      <c r="B347" s="177">
        <f>B350</f>
        <v>3.2183333333333337</v>
      </c>
      <c r="C347" s="16"/>
      <c r="D347" s="203"/>
    </row>
    <row r="348" spans="1:9" s="71" customFormat="1" x14ac:dyDescent="0.25">
      <c r="A348" s="19" t="s">
        <v>295</v>
      </c>
      <c r="B348" s="26">
        <f>COUNT(B355:B361)</f>
        <v>6</v>
      </c>
      <c r="C348" s="16"/>
      <c r="D348" s="203"/>
    </row>
    <row r="349" spans="1:9" s="71" customFormat="1" x14ac:dyDescent="0.25">
      <c r="A349" s="48" t="s">
        <v>281</v>
      </c>
      <c r="B349" s="131">
        <f>STDEV(B355:B361)</f>
        <v>1.4974834445384255</v>
      </c>
      <c r="C349" s="16"/>
      <c r="D349" s="203"/>
    </row>
    <row r="350" spans="1:9" s="71" customFormat="1" x14ac:dyDescent="0.25">
      <c r="A350" s="19" t="s">
        <v>279</v>
      </c>
      <c r="B350" s="130">
        <f>AVERAGE(B355:B361)</f>
        <v>3.2183333333333337</v>
      </c>
      <c r="C350" s="14"/>
      <c r="D350" s="203"/>
    </row>
    <row r="351" spans="1:9" s="71" customFormat="1" ht="15.75" thickBot="1" x14ac:dyDescent="0.3">
      <c r="A351" s="48" t="s">
        <v>283</v>
      </c>
      <c r="B351" s="131">
        <f>CONFIDENCE(0.05,B349,B348)</f>
        <v>1.1982142923388825</v>
      </c>
      <c r="C351" s="129"/>
      <c r="D351" s="249"/>
    </row>
    <row r="352" spans="1:9" s="71" customFormat="1" x14ac:dyDescent="0.25">
      <c r="A352" s="17" t="s">
        <v>57</v>
      </c>
      <c r="B352" s="190">
        <v>2.78</v>
      </c>
      <c r="C352" s="18" t="s">
        <v>478</v>
      </c>
      <c r="D352" s="203" t="s">
        <v>275</v>
      </c>
    </row>
    <row r="353" spans="1:11" s="71" customFormat="1" x14ac:dyDescent="0.25">
      <c r="A353" s="19" t="s">
        <v>58</v>
      </c>
      <c r="B353" s="191">
        <v>2.42</v>
      </c>
      <c r="C353" s="20" t="s">
        <v>478</v>
      </c>
      <c r="D353" s="203" t="s">
        <v>274</v>
      </c>
    </row>
    <row r="354" spans="1:11" s="71" customFormat="1" x14ac:dyDescent="0.25">
      <c r="A354" s="19" t="s">
        <v>59</v>
      </c>
      <c r="B354" s="191">
        <v>2.71</v>
      </c>
      <c r="C354" s="20" t="s">
        <v>478</v>
      </c>
      <c r="D354" s="203" t="s">
        <v>89</v>
      </c>
    </row>
    <row r="355" spans="1:11" s="71" customFormat="1" x14ac:dyDescent="0.25">
      <c r="A355" s="19" t="s">
        <v>60</v>
      </c>
      <c r="B355" s="191">
        <v>2.54</v>
      </c>
      <c r="C355" s="20" t="s">
        <v>478</v>
      </c>
      <c r="D355" s="203" t="s">
        <v>13</v>
      </c>
    </row>
    <row r="356" spans="1:11" s="71" customFormat="1" x14ac:dyDescent="0.25">
      <c r="A356" s="19" t="s">
        <v>61</v>
      </c>
      <c r="B356" s="191">
        <v>6.2</v>
      </c>
      <c r="C356" s="20" t="s">
        <v>478</v>
      </c>
      <c r="D356" s="203" t="s">
        <v>337</v>
      </c>
    </row>
    <row r="357" spans="1:11" s="71" customFormat="1" x14ac:dyDescent="0.25">
      <c r="A357" s="19" t="s">
        <v>62</v>
      </c>
      <c r="B357" s="191">
        <v>2.77</v>
      </c>
      <c r="C357" s="20" t="s">
        <v>478</v>
      </c>
      <c r="D357" s="203" t="s">
        <v>50</v>
      </c>
    </row>
    <row r="358" spans="1:11" s="71" customFormat="1" x14ac:dyDescent="0.25">
      <c r="A358" s="19" t="s">
        <v>63</v>
      </c>
      <c r="B358" s="191">
        <v>3</v>
      </c>
      <c r="C358" s="20" t="s">
        <v>478</v>
      </c>
      <c r="D358" s="203" t="s">
        <v>371</v>
      </c>
      <c r="J358"/>
      <c r="K358"/>
    </row>
    <row r="359" spans="1:11" s="71" customFormat="1" x14ac:dyDescent="0.25">
      <c r="A359" s="19" t="s">
        <v>64</v>
      </c>
      <c r="B359" s="191">
        <f>B357</f>
        <v>2.77</v>
      </c>
      <c r="C359" s="20" t="s">
        <v>478</v>
      </c>
      <c r="D359" s="203" t="s">
        <v>343</v>
      </c>
      <c r="J359"/>
      <c r="K359"/>
    </row>
    <row r="360" spans="1:11" s="71" customFormat="1" ht="15.75" thickBot="1" x14ac:dyDescent="0.3">
      <c r="A360" s="27" t="s">
        <v>65</v>
      </c>
      <c r="B360" s="192">
        <v>2.0299999999999998</v>
      </c>
      <c r="C360" s="23" t="s">
        <v>478</v>
      </c>
      <c r="D360" s="203" t="s">
        <v>338</v>
      </c>
      <c r="J360"/>
      <c r="K360"/>
    </row>
    <row r="361" spans="1:11" s="71" customFormat="1" x14ac:dyDescent="0.25">
      <c r="D361" s="50"/>
      <c r="J361"/>
      <c r="K361"/>
    </row>
    <row r="362" spans="1:11" s="71" customFormat="1" x14ac:dyDescent="0.25">
      <c r="A362" s="103" t="s">
        <v>288</v>
      </c>
      <c r="B362" s="66">
        <v>3.39</v>
      </c>
      <c r="C362" s="16" t="s">
        <v>478</v>
      </c>
      <c r="D362" s="203" t="s">
        <v>138</v>
      </c>
      <c r="J362"/>
      <c r="K362"/>
    </row>
    <row r="363" spans="1:11" s="71" customFormat="1" ht="15.75" thickBot="1" x14ac:dyDescent="0.3">
      <c r="D363" s="50"/>
      <c r="J363"/>
      <c r="K363"/>
    </row>
    <row r="364" spans="1:11" s="71" customFormat="1" x14ac:dyDescent="0.25">
      <c r="A364" s="39" t="s">
        <v>304</v>
      </c>
      <c r="B364" s="177">
        <f>B367</f>
        <v>2.0300000000000002</v>
      </c>
      <c r="C364" s="129"/>
      <c r="D364" s="250"/>
      <c r="J364"/>
      <c r="K364"/>
    </row>
    <row r="365" spans="1:11" s="71" customFormat="1" x14ac:dyDescent="0.25">
      <c r="A365" s="19" t="s">
        <v>295</v>
      </c>
      <c r="B365" s="26">
        <f>COUNT(B369:B370)</f>
        <v>2</v>
      </c>
      <c r="C365" s="139"/>
      <c r="D365" s="251"/>
      <c r="J365"/>
      <c r="K365"/>
    </row>
    <row r="366" spans="1:11" s="71" customFormat="1" x14ac:dyDescent="0.25">
      <c r="A366" s="48" t="s">
        <v>281</v>
      </c>
      <c r="B366" s="131">
        <f>STDEV(B369:B370)</f>
        <v>1.2869343417595158</v>
      </c>
      <c r="C366" s="139"/>
      <c r="D366" s="251"/>
      <c r="J366"/>
      <c r="K366"/>
    </row>
    <row r="367" spans="1:11" s="71" customFormat="1" x14ac:dyDescent="0.25">
      <c r="A367" s="19" t="s">
        <v>279</v>
      </c>
      <c r="B367" s="178">
        <f>AVERAGE(B369:B370)</f>
        <v>2.0300000000000002</v>
      </c>
      <c r="C367" s="49"/>
      <c r="D367" s="251"/>
      <c r="J367"/>
      <c r="K367"/>
    </row>
    <row r="368" spans="1:11" s="71" customFormat="1" ht="15.75" thickBot="1" x14ac:dyDescent="0.3">
      <c r="A368" s="48" t="s">
        <v>283</v>
      </c>
      <c r="B368" s="131">
        <f>CONFIDENCE(0.05,B366,B365)</f>
        <v>1.7835672259314477</v>
      </c>
      <c r="C368" s="139"/>
      <c r="D368" s="251"/>
    </row>
    <row r="369" spans="1:11" s="71" customFormat="1" x14ac:dyDescent="0.25">
      <c r="A369" s="82" t="s">
        <v>96</v>
      </c>
      <c r="B369" s="128">
        <v>2.94</v>
      </c>
      <c r="C369" s="18" t="s">
        <v>478</v>
      </c>
      <c r="D369" s="203" t="s">
        <v>12</v>
      </c>
      <c r="J369"/>
      <c r="K369"/>
    </row>
    <row r="370" spans="1:11" s="71" customFormat="1" ht="15.75" thickBot="1" x14ac:dyDescent="0.3">
      <c r="A370" s="21" t="s">
        <v>97</v>
      </c>
      <c r="B370" s="45">
        <v>1.1200000000000001</v>
      </c>
      <c r="C370" s="23" t="s">
        <v>478</v>
      </c>
      <c r="D370" s="203" t="s">
        <v>89</v>
      </c>
      <c r="J370"/>
      <c r="K370"/>
    </row>
    <row r="371" spans="1:11" s="71" customFormat="1" ht="15.75" thickBot="1" x14ac:dyDescent="0.3">
      <c r="D371" s="50"/>
      <c r="E371" s="49"/>
      <c r="F371" s="49"/>
      <c r="G371" s="49"/>
      <c r="H371" s="49"/>
      <c r="I371" s="49"/>
      <c r="J371" s="49"/>
      <c r="K371" s="49"/>
    </row>
    <row r="372" spans="1:11" s="71" customFormat="1" x14ac:dyDescent="0.25">
      <c r="A372" s="39" t="s">
        <v>310</v>
      </c>
      <c r="B372" s="176">
        <f>B375</f>
        <v>1.6760000000000002</v>
      </c>
      <c r="C372" s="129"/>
      <c r="D372" s="123"/>
      <c r="G372" s="49"/>
      <c r="H372" s="49"/>
      <c r="I372" s="49"/>
      <c r="J372" s="49"/>
      <c r="K372" s="49"/>
    </row>
    <row r="373" spans="1:11" s="71" customFormat="1" x14ac:dyDescent="0.25">
      <c r="A373" s="19" t="s">
        <v>295</v>
      </c>
      <c r="B373" s="26">
        <f>COUNT(B377:B381)</f>
        <v>5</v>
      </c>
      <c r="C373" s="129"/>
      <c r="D373" s="123"/>
      <c r="G373" s="49"/>
      <c r="H373" s="49"/>
      <c r="I373" s="49"/>
      <c r="J373" s="49"/>
      <c r="K373" s="49"/>
    </row>
    <row r="374" spans="1:11" s="71" customFormat="1" x14ac:dyDescent="0.25">
      <c r="A374" s="48" t="s">
        <v>281</v>
      </c>
      <c r="B374" s="131">
        <f>STDEV(B377:B381)</f>
        <v>1.7538614540493209</v>
      </c>
      <c r="C374" s="129"/>
      <c r="D374" s="123"/>
      <c r="E374" s="49"/>
      <c r="F374" s="49"/>
      <c r="G374" s="49"/>
      <c r="H374" s="49"/>
      <c r="I374" s="49"/>
      <c r="J374" s="49"/>
      <c r="K374" s="49"/>
    </row>
    <row r="375" spans="1:11" s="71" customFormat="1" x14ac:dyDescent="0.25">
      <c r="A375" s="19" t="s">
        <v>279</v>
      </c>
      <c r="B375" s="37">
        <f>AVERAGE(B377:B381)</f>
        <v>1.6760000000000002</v>
      </c>
      <c r="D375" s="123"/>
      <c r="J375"/>
      <c r="K375"/>
    </row>
    <row r="376" spans="1:11" s="71" customFormat="1" ht="15.75" thickBot="1" x14ac:dyDescent="0.3">
      <c r="A376" s="48" t="s">
        <v>283</v>
      </c>
      <c r="B376" s="131">
        <f>CONFIDENCE(0.05,B374,B373)</f>
        <v>1.5372990975226479</v>
      </c>
      <c r="C376" s="129"/>
      <c r="D376" s="123"/>
    </row>
    <row r="377" spans="1:11" s="71" customFormat="1" x14ac:dyDescent="0.25">
      <c r="A377" s="17" t="s">
        <v>200</v>
      </c>
      <c r="B377" s="127">
        <v>0.12</v>
      </c>
      <c r="C377" s="18" t="s">
        <v>478</v>
      </c>
      <c r="D377" s="279" t="s">
        <v>174</v>
      </c>
      <c r="E377" s="10"/>
      <c r="J377"/>
      <c r="K377"/>
    </row>
    <row r="378" spans="1:11" s="71" customFormat="1" x14ac:dyDescent="0.25">
      <c r="A378" s="19" t="s">
        <v>199</v>
      </c>
      <c r="B378" s="41">
        <v>0.11</v>
      </c>
      <c r="C378" s="20" t="s">
        <v>478</v>
      </c>
      <c r="D378" s="279" t="s">
        <v>198</v>
      </c>
      <c r="J378"/>
      <c r="K378"/>
    </row>
    <row r="379" spans="1:11" s="71" customFormat="1" x14ac:dyDescent="0.25">
      <c r="A379" s="19" t="s">
        <v>204</v>
      </c>
      <c r="B379" s="41">
        <v>4</v>
      </c>
      <c r="C379" s="20" t="s">
        <v>478</v>
      </c>
      <c r="D379" s="279" t="s">
        <v>202</v>
      </c>
    </row>
    <row r="380" spans="1:11" s="71" customFormat="1" x14ac:dyDescent="0.25">
      <c r="A380" s="19" t="s">
        <v>205</v>
      </c>
      <c r="B380" s="41">
        <v>3</v>
      </c>
      <c r="C380" s="20" t="s">
        <v>478</v>
      </c>
      <c r="D380" s="279" t="s">
        <v>328</v>
      </c>
    </row>
    <row r="381" spans="1:11" s="71" customFormat="1" ht="15.75" thickBot="1" x14ac:dyDescent="0.3">
      <c r="A381" s="27" t="s">
        <v>335</v>
      </c>
      <c r="B381" s="42">
        <v>1.1499999999999999</v>
      </c>
      <c r="C381" s="23" t="s">
        <v>478</v>
      </c>
      <c r="D381" s="279" t="s">
        <v>207</v>
      </c>
    </row>
    <row r="382" spans="1:11" s="71" customFormat="1" ht="15.75" thickBot="1" x14ac:dyDescent="0.3">
      <c r="D382" s="50"/>
    </row>
    <row r="383" spans="1:11" s="71" customFormat="1" x14ac:dyDescent="0.25">
      <c r="A383" s="32" t="s">
        <v>216</v>
      </c>
      <c r="B383" s="56" t="s">
        <v>34</v>
      </c>
      <c r="C383" s="38" t="s">
        <v>4</v>
      </c>
      <c r="D383" s="53" t="s">
        <v>3</v>
      </c>
      <c r="J383"/>
      <c r="K383"/>
    </row>
    <row r="384" spans="1:11" s="71" customFormat="1" x14ac:dyDescent="0.25">
      <c r="A384" s="108" t="s">
        <v>217</v>
      </c>
      <c r="B384" s="66">
        <v>0.105</v>
      </c>
      <c r="C384" s="20" t="s">
        <v>478</v>
      </c>
      <c r="D384" s="203" t="s">
        <v>213</v>
      </c>
    </row>
    <row r="385" spans="1:11" s="71" customFormat="1" x14ac:dyDescent="0.25">
      <c r="A385" s="108" t="s">
        <v>218</v>
      </c>
      <c r="B385" s="66">
        <v>0.40500000000000003</v>
      </c>
      <c r="C385" s="20" t="s">
        <v>478</v>
      </c>
      <c r="D385" s="203" t="s">
        <v>213</v>
      </c>
      <c r="J385"/>
      <c r="K385"/>
    </row>
    <row r="386" spans="1:11" s="71" customFormat="1" ht="15.75" thickBot="1" x14ac:dyDescent="0.3">
      <c r="A386" s="109" t="s">
        <v>219</v>
      </c>
      <c r="B386" s="65">
        <v>0.21099999999999999</v>
      </c>
      <c r="C386" s="23" t="s">
        <v>478</v>
      </c>
      <c r="D386" s="203" t="s">
        <v>213</v>
      </c>
    </row>
    <row r="387" spans="1:11" s="71" customFormat="1" x14ac:dyDescent="0.25">
      <c r="D387" s="50"/>
      <c r="E387" s="49"/>
      <c r="F387" s="49"/>
    </row>
    <row r="388" spans="1:11" s="71" customFormat="1" x14ac:dyDescent="0.25">
      <c r="A388" s="103" t="s">
        <v>287</v>
      </c>
      <c r="B388" s="66">
        <v>0.42</v>
      </c>
      <c r="C388" s="16" t="s">
        <v>478</v>
      </c>
      <c r="D388" s="203" t="s">
        <v>242</v>
      </c>
      <c r="J388"/>
      <c r="K388"/>
    </row>
    <row r="389" spans="1:11" s="71" customFormat="1" ht="15.75" thickBot="1" x14ac:dyDescent="0.3">
      <c r="A389" s="103"/>
      <c r="B389" s="44"/>
      <c r="C389" s="16"/>
      <c r="D389" s="203"/>
    </row>
    <row r="390" spans="1:11" s="71" customFormat="1" x14ac:dyDescent="0.25">
      <c r="A390" s="39" t="s">
        <v>505</v>
      </c>
      <c r="B390" s="176">
        <f>B393</f>
        <v>0.26920000000000005</v>
      </c>
      <c r="C390" s="16"/>
      <c r="D390" s="203"/>
    </row>
    <row r="391" spans="1:11" s="71" customFormat="1" x14ac:dyDescent="0.25">
      <c r="A391" s="19" t="s">
        <v>295</v>
      </c>
      <c r="B391" s="26">
        <f>COUNT(B395:B403)</f>
        <v>8</v>
      </c>
      <c r="C391" s="16"/>
      <c r="D391" s="203"/>
    </row>
    <row r="392" spans="1:11" s="71" customFormat="1" x14ac:dyDescent="0.25">
      <c r="A392" s="48" t="s">
        <v>281</v>
      </c>
      <c r="B392" s="131">
        <f>STDEV(B395:B397)</f>
        <v>3.6413184425424731E-2</v>
      </c>
      <c r="C392" s="16"/>
      <c r="D392" s="203"/>
    </row>
    <row r="393" spans="1:11" s="71" customFormat="1" x14ac:dyDescent="0.25">
      <c r="A393" s="19" t="s">
        <v>279</v>
      </c>
      <c r="B393" s="37">
        <f>AVERAGE(B395:B397)</f>
        <v>0.26920000000000005</v>
      </c>
      <c r="C393" s="16"/>
      <c r="D393" s="203"/>
    </row>
    <row r="394" spans="1:11" s="71" customFormat="1" ht="15.75" thickBot="1" x14ac:dyDescent="0.3">
      <c r="A394" s="48" t="s">
        <v>283</v>
      </c>
      <c r="B394" s="37">
        <f>CONFIDENCE(0.05,B392,B391)</f>
        <v>2.5232585775973124E-2</v>
      </c>
      <c r="C394" s="16"/>
      <c r="D394" s="203"/>
    </row>
    <row r="395" spans="1:11" s="71" customFormat="1" x14ac:dyDescent="0.25">
      <c r="A395" s="184" t="s">
        <v>506</v>
      </c>
      <c r="B395" s="282">
        <f>0.23*1.12</f>
        <v>0.25760000000000005</v>
      </c>
      <c r="C395" s="18" t="s">
        <v>478</v>
      </c>
      <c r="D395" s="203" t="s">
        <v>483</v>
      </c>
    </row>
    <row r="396" spans="1:11" s="71" customFormat="1" x14ac:dyDescent="0.25">
      <c r="A396" s="86" t="s">
        <v>507</v>
      </c>
      <c r="B396" s="44">
        <v>0.31</v>
      </c>
      <c r="C396" s="20" t="s">
        <v>478</v>
      </c>
      <c r="D396" s="203" t="s">
        <v>510</v>
      </c>
    </row>
    <row r="397" spans="1:11" s="71" customFormat="1" ht="15.75" thickBot="1" x14ac:dyDescent="0.3">
      <c r="A397" s="185" t="s">
        <v>508</v>
      </c>
      <c r="B397" s="45">
        <v>0.24</v>
      </c>
      <c r="C397" s="23" t="s">
        <v>478</v>
      </c>
      <c r="D397" s="50" t="s">
        <v>533</v>
      </c>
    </row>
    <row r="398" spans="1:11" s="71" customFormat="1" ht="15.75" thickBot="1" x14ac:dyDescent="0.3">
      <c r="D398" s="50"/>
    </row>
    <row r="399" spans="1:11" s="71" customFormat="1" x14ac:dyDescent="0.25">
      <c r="A399" s="39" t="s">
        <v>620</v>
      </c>
      <c r="B399" s="176">
        <f>B402</f>
        <v>0.43167500000000003</v>
      </c>
      <c r="D399" s="50"/>
    </row>
    <row r="400" spans="1:11" s="71" customFormat="1" x14ac:dyDescent="0.25">
      <c r="A400" s="19" t="s">
        <v>295</v>
      </c>
      <c r="B400" s="26">
        <f>COUNT(B404:B407)</f>
        <v>4</v>
      </c>
      <c r="D400" s="50"/>
    </row>
    <row r="401" spans="1:11" s="71" customFormat="1" x14ac:dyDescent="0.25">
      <c r="A401" s="48" t="s">
        <v>281</v>
      </c>
      <c r="B401" s="131">
        <f>STDEV(B404:B407)</f>
        <v>0.44590569537365926</v>
      </c>
      <c r="D401" s="50"/>
    </row>
    <row r="402" spans="1:11" s="71" customFormat="1" x14ac:dyDescent="0.25">
      <c r="A402" s="19" t="s">
        <v>279</v>
      </c>
      <c r="B402" s="37">
        <f>AVERAGE(B404:B407)</f>
        <v>0.43167500000000003</v>
      </c>
      <c r="D402" s="50"/>
    </row>
    <row r="403" spans="1:11" s="71" customFormat="1" ht="15.75" thickBot="1" x14ac:dyDescent="0.3">
      <c r="A403" s="48" t="s">
        <v>283</v>
      </c>
      <c r="B403" s="37">
        <f>CONFIDENCE(0.05,B401,B400)</f>
        <v>0.43697955171683028</v>
      </c>
      <c r="D403" s="50"/>
    </row>
    <row r="404" spans="1:11" s="71" customFormat="1" x14ac:dyDescent="0.25">
      <c r="A404" s="82" t="s">
        <v>621</v>
      </c>
      <c r="B404" s="127">
        <v>0.11</v>
      </c>
      <c r="C404" s="18" t="s">
        <v>478</v>
      </c>
      <c r="D404" s="69" t="s">
        <v>465</v>
      </c>
      <c r="E404" s="10"/>
      <c r="F404" s="140"/>
      <c r="G404" s="3"/>
      <c r="J404"/>
      <c r="K404"/>
    </row>
    <row r="405" spans="1:11" s="71" customFormat="1" x14ac:dyDescent="0.25">
      <c r="A405" s="40" t="s">
        <v>622</v>
      </c>
      <c r="B405" s="16">
        <v>0.17</v>
      </c>
      <c r="C405" s="20" t="s">
        <v>478</v>
      </c>
      <c r="D405" s="50" t="s">
        <v>565</v>
      </c>
      <c r="E405" s="10"/>
      <c r="F405" s="140"/>
      <c r="G405" s="3"/>
    </row>
    <row r="406" spans="1:11" s="71" customFormat="1" x14ac:dyDescent="0.25">
      <c r="A406" s="40" t="s">
        <v>681</v>
      </c>
      <c r="B406" s="16">
        <v>1.08</v>
      </c>
      <c r="C406" s="20" t="s">
        <v>478</v>
      </c>
      <c r="D406" s="50" t="s">
        <v>661</v>
      </c>
      <c r="E406" s="10"/>
      <c r="F406" s="140"/>
      <c r="G406" s="3"/>
    </row>
    <row r="407" spans="1:11" s="71" customFormat="1" ht="15.75" thickBot="1" x14ac:dyDescent="0.3">
      <c r="A407" s="21" t="s">
        <v>687</v>
      </c>
      <c r="B407" s="276">
        <v>0.36670000000000003</v>
      </c>
      <c r="C407" s="23" t="s">
        <v>478</v>
      </c>
      <c r="D407" s="50" t="s">
        <v>536</v>
      </c>
      <c r="E407" s="10"/>
      <c r="F407" s="140"/>
      <c r="G407" s="3"/>
    </row>
    <row r="408" spans="1:11" s="71" customFormat="1" ht="15.75" thickBot="1" x14ac:dyDescent="0.3">
      <c r="D408" s="50"/>
      <c r="E408" s="10"/>
      <c r="F408" s="140"/>
      <c r="G408" s="3"/>
    </row>
    <row r="409" spans="1:11" s="71" customFormat="1" x14ac:dyDescent="0.25">
      <c r="A409" s="39" t="s">
        <v>308</v>
      </c>
      <c r="B409" s="176">
        <f>B412</f>
        <v>0.46500000000000002</v>
      </c>
      <c r="C409" s="129"/>
      <c r="D409" s="103"/>
      <c r="E409" s="10"/>
      <c r="F409" s="140"/>
      <c r="G409" s="3"/>
    </row>
    <row r="410" spans="1:11" s="71" customFormat="1" x14ac:dyDescent="0.25">
      <c r="A410" s="19" t="s">
        <v>295</v>
      </c>
      <c r="B410" s="26">
        <f>COUNT(B414:B417)</f>
        <v>4</v>
      </c>
      <c r="C410" s="129"/>
      <c r="D410" s="103"/>
      <c r="E410" s="10"/>
      <c r="F410" s="140"/>
      <c r="G410" s="3"/>
    </row>
    <row r="411" spans="1:11" s="71" customFormat="1" x14ac:dyDescent="0.25">
      <c r="A411" s="48" t="s">
        <v>281</v>
      </c>
      <c r="B411" s="131">
        <f>STDEV(B414:B417)</f>
        <v>0.13178264933847186</v>
      </c>
      <c r="C411" s="129"/>
      <c r="D411" s="103"/>
      <c r="E411" s="10"/>
      <c r="F411" s="140"/>
      <c r="G411" s="3"/>
    </row>
    <row r="412" spans="1:11" s="71" customFormat="1" x14ac:dyDescent="0.25">
      <c r="A412" s="19" t="s">
        <v>279</v>
      </c>
      <c r="B412" s="37">
        <f>AVERAGE(B414:B417)</f>
        <v>0.46500000000000002</v>
      </c>
      <c r="D412" s="103"/>
      <c r="E412" s="10"/>
      <c r="F412" s="140"/>
      <c r="G412" s="3"/>
    </row>
    <row r="413" spans="1:11" s="71" customFormat="1" ht="15.75" thickBot="1" x14ac:dyDescent="0.3">
      <c r="A413" s="48" t="s">
        <v>283</v>
      </c>
      <c r="B413" s="131">
        <f>CONFIDENCE(0.05,B411,B410)</f>
        <v>0.12914462324533799</v>
      </c>
      <c r="C413" s="129"/>
      <c r="D413" s="103"/>
      <c r="E413" s="10"/>
      <c r="F413" s="140"/>
      <c r="G413" s="3"/>
    </row>
    <row r="414" spans="1:11" s="71" customFormat="1" x14ac:dyDescent="0.25">
      <c r="A414" s="82" t="s">
        <v>102</v>
      </c>
      <c r="B414" s="128">
        <v>0.64</v>
      </c>
      <c r="C414" s="18" t="s">
        <v>478</v>
      </c>
      <c r="D414" s="203" t="s">
        <v>12</v>
      </c>
      <c r="E414" s="10"/>
      <c r="F414" s="140"/>
      <c r="G414" s="3"/>
    </row>
    <row r="415" spans="1:11" s="71" customFormat="1" x14ac:dyDescent="0.25">
      <c r="A415" s="40" t="s">
        <v>103</v>
      </c>
      <c r="B415" s="44">
        <v>0.48</v>
      </c>
      <c r="C415" s="20" t="s">
        <v>478</v>
      </c>
      <c r="D415" s="203" t="s">
        <v>89</v>
      </c>
      <c r="E415" s="10"/>
      <c r="F415" s="140"/>
      <c r="G415" s="3"/>
    </row>
    <row r="416" spans="1:11" s="71" customFormat="1" x14ac:dyDescent="0.25">
      <c r="A416" s="40" t="s">
        <v>104</v>
      </c>
      <c r="B416" s="44">
        <v>0.41</v>
      </c>
      <c r="C416" s="20" t="s">
        <v>478</v>
      </c>
      <c r="D416" s="203" t="s">
        <v>89</v>
      </c>
      <c r="E416" s="10"/>
      <c r="F416" s="140"/>
      <c r="G416" s="3"/>
    </row>
    <row r="417" spans="1:7" s="71" customFormat="1" ht="15.75" thickBot="1" x14ac:dyDescent="0.3">
      <c r="A417" s="21" t="s">
        <v>222</v>
      </c>
      <c r="B417" s="328">
        <v>0.33</v>
      </c>
      <c r="C417" s="23" t="s">
        <v>478</v>
      </c>
      <c r="D417" s="203" t="s">
        <v>89</v>
      </c>
      <c r="E417" s="10"/>
      <c r="F417" s="140"/>
      <c r="G417" s="3"/>
    </row>
    <row r="418" spans="1:7" s="71" customFormat="1" ht="15.75" thickBot="1" x14ac:dyDescent="0.3">
      <c r="A418" s="13"/>
      <c r="B418" s="44"/>
      <c r="C418" s="16"/>
      <c r="D418" s="203"/>
      <c r="E418" s="10"/>
      <c r="F418" s="140"/>
      <c r="G418" s="3"/>
    </row>
    <row r="419" spans="1:7" s="71" customFormat="1" x14ac:dyDescent="0.25">
      <c r="A419" s="32" t="s">
        <v>305</v>
      </c>
      <c r="B419" s="177">
        <f>B422</f>
        <v>0.9425</v>
      </c>
      <c r="C419" s="14"/>
      <c r="D419" s="203"/>
      <c r="F419" s="140"/>
      <c r="G419" s="3"/>
    </row>
    <row r="420" spans="1:7" s="71" customFormat="1" x14ac:dyDescent="0.25">
      <c r="A420" s="19" t="s">
        <v>295</v>
      </c>
      <c r="B420" s="26">
        <f>COUNT(B424:B431)</f>
        <v>8</v>
      </c>
      <c r="C420" s="14"/>
      <c r="D420" s="203"/>
      <c r="F420" s="140"/>
      <c r="G420" s="3"/>
    </row>
    <row r="421" spans="1:7" s="71" customFormat="1" x14ac:dyDescent="0.25">
      <c r="A421" s="48" t="s">
        <v>281</v>
      </c>
      <c r="B421" s="131">
        <f>STDEV(B424:B431)</f>
        <v>0.86195376077506947</v>
      </c>
      <c r="C421" s="14"/>
      <c r="D421" s="203"/>
      <c r="F421" s="140"/>
      <c r="G421" s="3"/>
    </row>
    <row r="422" spans="1:7" s="71" customFormat="1" x14ac:dyDescent="0.25">
      <c r="A422" s="19" t="s">
        <v>279</v>
      </c>
      <c r="B422" s="37">
        <f>AVERAGE(B424:B431)</f>
        <v>0.9425</v>
      </c>
      <c r="D422" s="203"/>
      <c r="F422" s="140"/>
      <c r="G422" s="3"/>
    </row>
    <row r="423" spans="1:7" s="71" customFormat="1" ht="15.75" thickBot="1" x14ac:dyDescent="0.3">
      <c r="A423" s="48" t="s">
        <v>283</v>
      </c>
      <c r="B423" s="131">
        <f>CONFIDENCE(0.05,B421,B420)</f>
        <v>0.59729250673537782</v>
      </c>
      <c r="C423" s="14"/>
      <c r="D423" s="203"/>
      <c r="F423" s="140"/>
      <c r="G423" s="3"/>
    </row>
    <row r="424" spans="1:7" s="71" customFormat="1" x14ac:dyDescent="0.25">
      <c r="A424" s="17" t="s">
        <v>404</v>
      </c>
      <c r="B424" s="333">
        <v>1.1000000000000001</v>
      </c>
      <c r="C424" s="18" t="s">
        <v>478</v>
      </c>
      <c r="D424" s="203" t="s">
        <v>122</v>
      </c>
      <c r="F424" s="140"/>
      <c r="G424" s="3"/>
    </row>
    <row r="425" spans="1:7" s="71" customFormat="1" x14ac:dyDescent="0.25">
      <c r="A425" s="19" t="s">
        <v>56</v>
      </c>
      <c r="B425" s="191">
        <v>0.21</v>
      </c>
      <c r="C425" s="20" t="s">
        <v>478</v>
      </c>
      <c r="D425" s="203" t="s">
        <v>275</v>
      </c>
      <c r="F425" s="140"/>
      <c r="G425" s="3"/>
    </row>
    <row r="426" spans="1:7" s="71" customFormat="1" x14ac:dyDescent="0.25">
      <c r="A426" s="19" t="s">
        <v>75</v>
      </c>
      <c r="B426" s="191">
        <v>0.15</v>
      </c>
      <c r="C426" s="20" t="s">
        <v>478</v>
      </c>
      <c r="D426" s="203" t="s">
        <v>274</v>
      </c>
      <c r="F426" s="140"/>
      <c r="G426" s="3"/>
    </row>
    <row r="427" spans="1:7" s="71" customFormat="1" x14ac:dyDescent="0.25">
      <c r="A427" s="19" t="s">
        <v>76</v>
      </c>
      <c r="B427" s="191">
        <v>0.99</v>
      </c>
      <c r="C427" s="20" t="s">
        <v>478</v>
      </c>
      <c r="D427" s="203" t="s">
        <v>89</v>
      </c>
      <c r="F427" s="140"/>
      <c r="G427" s="3"/>
    </row>
    <row r="428" spans="1:7" s="71" customFormat="1" x14ac:dyDescent="0.25">
      <c r="A428" s="19" t="s">
        <v>77</v>
      </c>
      <c r="B428" s="191">
        <v>1.08</v>
      </c>
      <c r="C428" s="20" t="s">
        <v>478</v>
      </c>
      <c r="D428" s="203" t="s">
        <v>13</v>
      </c>
      <c r="F428" s="140"/>
      <c r="G428" s="3"/>
    </row>
    <row r="429" spans="1:7" s="71" customFormat="1" x14ac:dyDescent="0.25">
      <c r="A429" s="19" t="s">
        <v>78</v>
      </c>
      <c r="B429" s="191">
        <v>0.21</v>
      </c>
      <c r="C429" s="20" t="s">
        <v>478</v>
      </c>
      <c r="D429" s="203" t="s">
        <v>50</v>
      </c>
      <c r="F429" s="140"/>
      <c r="G429" s="3"/>
    </row>
    <row r="430" spans="1:7" s="71" customFormat="1" x14ac:dyDescent="0.25">
      <c r="A430" s="19" t="s">
        <v>79</v>
      </c>
      <c r="B430" s="191">
        <v>2.8</v>
      </c>
      <c r="C430" s="20" t="s">
        <v>478</v>
      </c>
      <c r="D430" s="203" t="s">
        <v>337</v>
      </c>
      <c r="F430" s="140"/>
      <c r="G430" s="3"/>
    </row>
    <row r="431" spans="1:7" s="71" customFormat="1" ht="15.75" thickBot="1" x14ac:dyDescent="0.3">
      <c r="A431" s="27" t="s">
        <v>80</v>
      </c>
      <c r="B431" s="334">
        <v>1</v>
      </c>
      <c r="C431" s="23" t="s">
        <v>478</v>
      </c>
      <c r="D431" s="203" t="s">
        <v>371</v>
      </c>
      <c r="F431" s="140"/>
      <c r="G431" s="3"/>
    </row>
    <row r="432" spans="1:7" s="71" customFormat="1" ht="15.75" thickBot="1" x14ac:dyDescent="0.3">
      <c r="A432" s="13"/>
      <c r="B432" s="44"/>
      <c r="C432" s="16"/>
      <c r="D432" s="203"/>
      <c r="E432" s="10"/>
      <c r="F432" s="140"/>
      <c r="G432" s="3"/>
    </row>
    <row r="433" spans="1:11" s="71" customFormat="1" x14ac:dyDescent="0.25">
      <c r="A433" s="39" t="s">
        <v>110</v>
      </c>
      <c r="B433" s="177">
        <f>B436</f>
        <v>2.78</v>
      </c>
      <c r="C433" s="129"/>
      <c r="D433" s="103"/>
      <c r="E433" s="10"/>
      <c r="F433" s="140"/>
      <c r="G433" s="3"/>
    </row>
    <row r="434" spans="1:11" s="71" customFormat="1" x14ac:dyDescent="0.25">
      <c r="A434" s="19" t="s">
        <v>295</v>
      </c>
      <c r="B434" s="26">
        <f>COUNT(B438:B439)</f>
        <v>2</v>
      </c>
      <c r="C434" s="129"/>
      <c r="D434" s="103"/>
      <c r="E434" s="10"/>
      <c r="F434" s="140"/>
      <c r="G434" s="3"/>
    </row>
    <row r="435" spans="1:11" s="71" customFormat="1" x14ac:dyDescent="0.25">
      <c r="A435" s="48" t="s">
        <v>281</v>
      </c>
      <c r="B435" s="131">
        <f>STDEV(B438:B439)</f>
        <v>3.0264170234784236</v>
      </c>
      <c r="C435" s="129"/>
      <c r="D435" s="53"/>
      <c r="E435" s="10"/>
      <c r="F435" s="140"/>
      <c r="G435" s="3"/>
    </row>
    <row r="436" spans="1:11" s="71" customFormat="1" x14ac:dyDescent="0.25">
      <c r="A436" s="19" t="s">
        <v>279</v>
      </c>
      <c r="B436" s="26">
        <f>AVERAGE(B438:B439)</f>
        <v>2.78</v>
      </c>
      <c r="D436" s="53"/>
      <c r="E436" s="10"/>
      <c r="F436" s="140"/>
      <c r="G436" s="3"/>
    </row>
    <row r="437" spans="1:11" s="71" customFormat="1" ht="15.75" thickBot="1" x14ac:dyDescent="0.3">
      <c r="A437" s="48" t="s">
        <v>283</v>
      </c>
      <c r="B437" s="202">
        <f>CONFIDENCE(0.05,B435,B434)</f>
        <v>4.1943229269157154</v>
      </c>
      <c r="C437" s="129"/>
      <c r="D437" s="53"/>
      <c r="E437" s="10"/>
      <c r="F437" s="140"/>
      <c r="G437" s="3"/>
    </row>
    <row r="438" spans="1:11" s="71" customFormat="1" x14ac:dyDescent="0.25">
      <c r="A438" s="82" t="s">
        <v>98</v>
      </c>
      <c r="B438" s="128">
        <v>4.92</v>
      </c>
      <c r="C438" s="18" t="s">
        <v>478</v>
      </c>
      <c r="D438" s="203" t="s">
        <v>12</v>
      </c>
      <c r="E438" s="10"/>
      <c r="F438" s="140"/>
      <c r="G438" s="3"/>
    </row>
    <row r="439" spans="1:11" s="71" customFormat="1" ht="15.75" thickBot="1" x14ac:dyDescent="0.3">
      <c r="A439" s="21" t="s">
        <v>99</v>
      </c>
      <c r="B439" s="45">
        <v>0.64</v>
      </c>
      <c r="C439" s="23" t="s">
        <v>478</v>
      </c>
      <c r="D439" s="203" t="s">
        <v>89</v>
      </c>
      <c r="J439"/>
      <c r="K439"/>
    </row>
    <row r="440" spans="1:11" s="71" customFormat="1" x14ac:dyDescent="0.25">
      <c r="D440" s="50"/>
      <c r="F440" s="5"/>
      <c r="G440" s="5"/>
      <c r="J440"/>
      <c r="K440"/>
    </row>
    <row r="441" spans="1:11" s="71" customFormat="1" x14ac:dyDescent="0.25">
      <c r="A441" s="10" t="s">
        <v>201</v>
      </c>
      <c r="B441" s="66">
        <v>0.15</v>
      </c>
      <c r="C441" s="16" t="s">
        <v>478</v>
      </c>
      <c r="D441" s="203" t="s">
        <v>198</v>
      </c>
      <c r="J441"/>
      <c r="K441"/>
    </row>
    <row r="442" spans="1:11" s="71" customFormat="1" x14ac:dyDescent="0.25">
      <c r="B442" s="14"/>
      <c r="C442" s="14"/>
      <c r="D442" s="203"/>
      <c r="J442"/>
      <c r="K442"/>
    </row>
    <row r="443" spans="1:11" s="71" customFormat="1" x14ac:dyDescent="0.25">
      <c r="A443" s="13" t="s">
        <v>444</v>
      </c>
      <c r="B443" s="66">
        <v>0</v>
      </c>
      <c r="C443" s="16" t="s">
        <v>478</v>
      </c>
      <c r="D443" s="69" t="s">
        <v>242</v>
      </c>
      <c r="E443" s="10"/>
      <c r="J443"/>
      <c r="K443"/>
    </row>
    <row r="444" spans="1:11" s="8" customFormat="1" x14ac:dyDescent="0.25">
      <c r="A444" s="13"/>
      <c r="B444" s="44"/>
      <c r="C444" s="44"/>
      <c r="D444" s="69"/>
      <c r="E444" s="13"/>
    </row>
    <row r="445" spans="1:11" s="8" customFormat="1" x14ac:dyDescent="0.25">
      <c r="A445" s="13" t="s">
        <v>509</v>
      </c>
      <c r="B445" s="284">
        <f>0.026*1.12</f>
        <v>2.912E-2</v>
      </c>
      <c r="C445" s="16" t="s">
        <v>478</v>
      </c>
      <c r="D445" s="50" t="s">
        <v>510</v>
      </c>
      <c r="E445" s="13"/>
    </row>
    <row r="446" spans="1:11" x14ac:dyDescent="0.25">
      <c r="A446" s="71"/>
      <c r="B446" s="71"/>
      <c r="C446" s="71"/>
      <c r="E446" s="71"/>
      <c r="F446" s="71"/>
      <c r="G446" s="71"/>
      <c r="H446" s="71"/>
      <c r="I446" s="71"/>
    </row>
    <row r="447" spans="1:11" ht="23.25" x14ac:dyDescent="0.35">
      <c r="A447" s="174" t="s">
        <v>381</v>
      </c>
      <c r="B447" s="97"/>
      <c r="C447" s="97"/>
      <c r="D447" s="103"/>
      <c r="E447" s="97"/>
      <c r="F447" s="97"/>
      <c r="G447" s="71"/>
      <c r="H447" s="71"/>
      <c r="I447" s="71"/>
    </row>
    <row r="448" spans="1:11" s="71" customFormat="1" x14ac:dyDescent="0.25">
      <c r="A448" s="1" t="s">
        <v>486</v>
      </c>
      <c r="B448" s="1" t="s">
        <v>323</v>
      </c>
      <c r="C448" s="15"/>
      <c r="D448" s="203" t="s">
        <v>115</v>
      </c>
      <c r="E448" s="53" t="s">
        <v>3</v>
      </c>
      <c r="F448" s="97"/>
    </row>
    <row r="449" spans="1:9" x14ac:dyDescent="0.25">
      <c r="A449" s="8" t="s">
        <v>543</v>
      </c>
      <c r="B449" s="94" t="s">
        <v>324</v>
      </c>
      <c r="C449" s="75">
        <v>41.74</v>
      </c>
      <c r="D449" s="203" t="s">
        <v>487</v>
      </c>
      <c r="E449" s="257" t="s">
        <v>442</v>
      </c>
      <c r="F449" s="71"/>
      <c r="G449" s="71"/>
      <c r="H449" s="71"/>
      <c r="I449" s="71"/>
    </row>
    <row r="450" spans="1:9" s="71" customFormat="1" x14ac:dyDescent="0.25">
      <c r="A450" s="8" t="s">
        <v>543</v>
      </c>
      <c r="B450" s="14" t="s">
        <v>326</v>
      </c>
      <c r="C450" s="75">
        <v>31.2</v>
      </c>
      <c r="D450" s="203" t="s">
        <v>487</v>
      </c>
      <c r="E450" s="257" t="s">
        <v>442</v>
      </c>
    </row>
    <row r="451" spans="1:9" s="71" customFormat="1" x14ac:dyDescent="0.25">
      <c r="A451" s="8" t="s">
        <v>543</v>
      </c>
      <c r="B451" s="14" t="s">
        <v>327</v>
      </c>
      <c r="C451" s="75">
        <v>5.5</v>
      </c>
      <c r="D451" s="203" t="s">
        <v>487</v>
      </c>
      <c r="E451" s="257" t="s">
        <v>442</v>
      </c>
    </row>
    <row r="452" spans="1:9" s="71" customFormat="1" x14ac:dyDescent="0.25">
      <c r="A452" s="106"/>
      <c r="B452" s="143"/>
      <c r="C452" s="143"/>
      <c r="D452" s="69"/>
      <c r="E452" s="10"/>
    </row>
    <row r="453" spans="1:9" s="71" customFormat="1" x14ac:dyDescent="0.25">
      <c r="A453" s="71" t="s">
        <v>159</v>
      </c>
      <c r="B453" s="14" t="s">
        <v>324</v>
      </c>
      <c r="C453" s="144">
        <v>66.760000000000005</v>
      </c>
      <c r="D453" s="203" t="s">
        <v>487</v>
      </c>
      <c r="E453" s="252" t="s">
        <v>442</v>
      </c>
    </row>
    <row r="454" spans="1:9" s="71" customFormat="1" x14ac:dyDescent="0.25">
      <c r="A454" s="71" t="s">
        <v>325</v>
      </c>
      <c r="B454" s="14" t="s">
        <v>326</v>
      </c>
      <c r="C454" s="75">
        <v>61.7</v>
      </c>
      <c r="D454" s="203" t="s">
        <v>487</v>
      </c>
      <c r="E454" s="257" t="s">
        <v>442</v>
      </c>
    </row>
    <row r="455" spans="1:9" s="71" customFormat="1" x14ac:dyDescent="0.25">
      <c r="A455" s="71" t="s">
        <v>159</v>
      </c>
      <c r="B455" s="14" t="s">
        <v>327</v>
      </c>
      <c r="C455" s="75">
        <v>36.799999999999997</v>
      </c>
      <c r="D455" s="203" t="s">
        <v>487</v>
      </c>
      <c r="E455" s="257" t="s">
        <v>442</v>
      </c>
    </row>
    <row r="456" spans="1:9" s="71" customFormat="1" x14ac:dyDescent="0.25">
      <c r="A456" s="106"/>
      <c r="B456" s="143"/>
      <c r="C456" s="143"/>
      <c r="D456" s="203"/>
    </row>
    <row r="457" spans="1:9" s="71" customFormat="1" x14ac:dyDescent="0.25">
      <c r="A457" s="71" t="s">
        <v>160</v>
      </c>
      <c r="B457" s="14" t="s">
        <v>324</v>
      </c>
      <c r="C457" s="75">
        <v>120.3</v>
      </c>
      <c r="D457" s="203" t="s">
        <v>487</v>
      </c>
      <c r="E457" s="257" t="s">
        <v>442</v>
      </c>
    </row>
    <row r="458" spans="1:9" s="71" customFormat="1" x14ac:dyDescent="0.25">
      <c r="A458" s="71" t="s">
        <v>160</v>
      </c>
      <c r="B458" s="14" t="s">
        <v>326</v>
      </c>
      <c r="C458" s="75">
        <v>117.5</v>
      </c>
      <c r="D458" s="203" t="s">
        <v>487</v>
      </c>
      <c r="E458" s="257" t="s">
        <v>442</v>
      </c>
    </row>
    <row r="459" spans="1:9" s="71" customFormat="1" x14ac:dyDescent="0.25">
      <c r="A459" s="71" t="s">
        <v>160</v>
      </c>
      <c r="B459" s="14" t="s">
        <v>327</v>
      </c>
      <c r="C459" s="75">
        <v>92.3</v>
      </c>
      <c r="D459" s="203" t="s">
        <v>487</v>
      </c>
      <c r="E459" s="257" t="s">
        <v>442</v>
      </c>
    </row>
    <row r="460" spans="1:9" s="71" customFormat="1" x14ac:dyDescent="0.25">
      <c r="A460" s="106"/>
      <c r="B460" s="106"/>
      <c r="C460" s="143"/>
      <c r="D460" s="203"/>
    </row>
    <row r="461" spans="1:9" s="71" customFormat="1" x14ac:dyDescent="0.25">
      <c r="A461" s="71" t="s">
        <v>162</v>
      </c>
      <c r="B461" s="14" t="s">
        <v>324</v>
      </c>
      <c r="C461" s="75">
        <v>89.1</v>
      </c>
      <c r="D461" s="203" t="s">
        <v>487</v>
      </c>
      <c r="E461" s="257" t="s">
        <v>442</v>
      </c>
    </row>
    <row r="462" spans="1:9" s="71" customFormat="1" x14ac:dyDescent="0.25">
      <c r="A462" s="71" t="s">
        <v>162</v>
      </c>
      <c r="B462" s="14" t="s">
        <v>326</v>
      </c>
      <c r="C462" s="75">
        <v>86.6</v>
      </c>
      <c r="D462" s="203" t="s">
        <v>487</v>
      </c>
      <c r="E462" s="257" t="s">
        <v>442</v>
      </c>
    </row>
    <row r="463" spans="1:9" s="71" customFormat="1" x14ac:dyDescent="0.25">
      <c r="A463" s="71" t="s">
        <v>162</v>
      </c>
      <c r="B463" s="14" t="s">
        <v>327</v>
      </c>
      <c r="C463" s="75">
        <v>61.4</v>
      </c>
      <c r="D463" s="203" t="s">
        <v>487</v>
      </c>
      <c r="E463" s="257" t="s">
        <v>442</v>
      </c>
    </row>
    <row r="464" spans="1:9" s="71" customFormat="1" x14ac:dyDescent="0.25">
      <c r="A464" s="106"/>
      <c r="B464" s="106"/>
      <c r="C464" s="143"/>
      <c r="D464" s="203"/>
    </row>
    <row r="465" spans="1:9" s="71" customFormat="1" x14ac:dyDescent="0.25">
      <c r="A465" s="71" t="s">
        <v>161</v>
      </c>
      <c r="B465" s="14" t="s">
        <v>324</v>
      </c>
      <c r="C465" s="75">
        <v>89.1</v>
      </c>
      <c r="D465" s="203" t="s">
        <v>487</v>
      </c>
      <c r="E465" s="257" t="s">
        <v>442</v>
      </c>
    </row>
    <row r="466" spans="1:9" s="71" customFormat="1" x14ac:dyDescent="0.25">
      <c r="A466" s="71" t="s">
        <v>161</v>
      </c>
      <c r="B466" s="14" t="s">
        <v>326</v>
      </c>
      <c r="C466" s="75">
        <v>86.6</v>
      </c>
      <c r="D466" s="203" t="s">
        <v>487</v>
      </c>
      <c r="E466" s="257" t="s">
        <v>442</v>
      </c>
    </row>
    <row r="467" spans="1:9" s="71" customFormat="1" x14ac:dyDescent="0.25">
      <c r="A467" s="71" t="s">
        <v>161</v>
      </c>
      <c r="B467" s="14" t="s">
        <v>327</v>
      </c>
      <c r="C467" s="75">
        <v>61.4</v>
      </c>
      <c r="D467" s="203" t="s">
        <v>487</v>
      </c>
      <c r="E467" s="257" t="s">
        <v>442</v>
      </c>
    </row>
    <row r="468" spans="1:9" s="71" customFormat="1" x14ac:dyDescent="0.25">
      <c r="A468" s="106"/>
      <c r="B468" s="143"/>
      <c r="C468" s="143"/>
      <c r="D468" s="203"/>
    </row>
    <row r="469" spans="1:9" x14ac:dyDescent="0.25">
      <c r="A469" s="71" t="s">
        <v>119</v>
      </c>
      <c r="B469" s="14" t="s">
        <v>324</v>
      </c>
      <c r="C469" s="75">
        <v>98.3</v>
      </c>
      <c r="D469" s="203" t="s">
        <v>487</v>
      </c>
      <c r="E469" s="257" t="s">
        <v>442</v>
      </c>
      <c r="F469" s="71"/>
      <c r="G469" s="71"/>
      <c r="H469" s="71"/>
      <c r="I469" s="71"/>
    </row>
    <row r="470" spans="1:9" x14ac:dyDescent="0.25">
      <c r="A470" s="71" t="s">
        <v>119</v>
      </c>
      <c r="B470" s="14" t="s">
        <v>326</v>
      </c>
      <c r="C470" s="75">
        <v>96.7</v>
      </c>
      <c r="D470" s="203" t="s">
        <v>487</v>
      </c>
      <c r="E470" s="257" t="s">
        <v>442</v>
      </c>
      <c r="F470" s="71"/>
      <c r="G470" s="71"/>
      <c r="H470" s="71"/>
      <c r="I470" s="71"/>
    </row>
    <row r="471" spans="1:9" x14ac:dyDescent="0.25">
      <c r="A471" s="71" t="s">
        <v>119</v>
      </c>
      <c r="B471" s="14" t="s">
        <v>327</v>
      </c>
      <c r="C471" s="75">
        <v>87.4</v>
      </c>
      <c r="D471" s="203" t="s">
        <v>487</v>
      </c>
      <c r="E471" s="257" t="s">
        <v>442</v>
      </c>
      <c r="F471" s="71"/>
      <c r="G471" s="71"/>
      <c r="H471" s="71"/>
      <c r="I471" s="71"/>
    </row>
    <row r="472" spans="1:9" x14ac:dyDescent="0.25">
      <c r="A472" s="106"/>
      <c r="B472" s="106"/>
      <c r="C472" s="143"/>
      <c r="E472" s="71"/>
      <c r="F472" s="71"/>
      <c r="G472" s="71"/>
      <c r="H472" s="71"/>
      <c r="I472" s="71"/>
    </row>
    <row r="473" spans="1:9" x14ac:dyDescent="0.25">
      <c r="A473" s="71" t="s">
        <v>94</v>
      </c>
      <c r="B473" s="14" t="s">
        <v>324</v>
      </c>
      <c r="C473" s="75">
        <v>74.5</v>
      </c>
      <c r="D473" s="203" t="s">
        <v>487</v>
      </c>
      <c r="E473" s="257" t="s">
        <v>442</v>
      </c>
      <c r="F473" s="71"/>
      <c r="G473" s="71"/>
      <c r="H473" s="71"/>
      <c r="I473" s="71"/>
    </row>
    <row r="474" spans="1:9" x14ac:dyDescent="0.25">
      <c r="A474" s="71" t="s">
        <v>94</v>
      </c>
      <c r="B474" s="14" t="s">
        <v>326</v>
      </c>
      <c r="C474" s="75">
        <v>74.5</v>
      </c>
      <c r="D474" s="203" t="s">
        <v>487</v>
      </c>
      <c r="E474" s="257" t="s">
        <v>442</v>
      </c>
      <c r="F474" s="71"/>
      <c r="G474" s="71"/>
      <c r="H474" s="71"/>
      <c r="I474" s="71"/>
    </row>
    <row r="475" spans="1:9" x14ac:dyDescent="0.25">
      <c r="A475" s="71" t="s">
        <v>94</v>
      </c>
      <c r="B475" s="14" t="s">
        <v>327</v>
      </c>
      <c r="C475" s="75">
        <v>74.5</v>
      </c>
      <c r="D475" s="203" t="s">
        <v>487</v>
      </c>
      <c r="E475" s="257" t="s">
        <v>442</v>
      </c>
      <c r="F475" s="71"/>
      <c r="G475" s="71"/>
      <c r="H475" s="71"/>
      <c r="I475" s="71"/>
    </row>
    <row r="476" spans="1:9" x14ac:dyDescent="0.25">
      <c r="A476" s="106"/>
      <c r="B476" s="143"/>
      <c r="C476" s="143"/>
      <c r="E476" s="71"/>
      <c r="F476" s="71"/>
      <c r="G476" s="71"/>
      <c r="H476" s="71"/>
      <c r="I476" s="71"/>
    </row>
    <row r="477" spans="1:9" x14ac:dyDescent="0.25">
      <c r="A477" s="71" t="s">
        <v>322</v>
      </c>
      <c r="B477" s="14" t="s">
        <v>324</v>
      </c>
      <c r="C477" s="75">
        <v>64.3</v>
      </c>
      <c r="D477" s="203" t="s">
        <v>487</v>
      </c>
      <c r="E477" s="257" t="s">
        <v>442</v>
      </c>
      <c r="F477" s="71"/>
      <c r="G477" s="71"/>
      <c r="H477" s="71"/>
      <c r="I477" s="71"/>
    </row>
    <row r="478" spans="1:9" x14ac:dyDescent="0.25">
      <c r="A478" s="71" t="s">
        <v>322</v>
      </c>
      <c r="B478" s="14" t="s">
        <v>326</v>
      </c>
      <c r="C478" s="75">
        <v>53.3</v>
      </c>
      <c r="D478" s="203" t="s">
        <v>487</v>
      </c>
      <c r="E478" s="257" t="s">
        <v>442</v>
      </c>
      <c r="F478" s="71"/>
      <c r="G478" s="71"/>
      <c r="H478" s="71"/>
      <c r="I478" s="71"/>
    </row>
    <row r="479" spans="1:9" x14ac:dyDescent="0.25">
      <c r="A479" s="71" t="s">
        <v>322</v>
      </c>
      <c r="B479" s="14" t="s">
        <v>327</v>
      </c>
      <c r="C479" s="75">
        <v>28.1</v>
      </c>
      <c r="D479" s="203" t="s">
        <v>487</v>
      </c>
      <c r="E479" s="257" t="s">
        <v>442</v>
      </c>
      <c r="F479" s="71"/>
      <c r="G479" s="71"/>
      <c r="H479" s="71"/>
      <c r="I479" s="71"/>
    </row>
    <row r="480" spans="1:9" s="71" customFormat="1" ht="15.75" thickBot="1" x14ac:dyDescent="0.3">
      <c r="B480" s="14"/>
      <c r="C480" s="94"/>
      <c r="D480" s="203"/>
      <c r="E480" s="257"/>
    </row>
    <row r="481" spans="1:5" s="71" customFormat="1" x14ac:dyDescent="0.25">
      <c r="A481" s="39" t="s">
        <v>556</v>
      </c>
      <c r="B481" s="175">
        <f>B484</f>
        <v>85.399999999999991</v>
      </c>
      <c r="C481" s="94"/>
      <c r="D481" s="203"/>
      <c r="E481" s="257"/>
    </row>
    <row r="482" spans="1:5" s="71" customFormat="1" x14ac:dyDescent="0.25">
      <c r="A482" s="19" t="s">
        <v>295</v>
      </c>
      <c r="B482" s="26">
        <f>COUNT(B486:B488)</f>
        <v>3</v>
      </c>
      <c r="C482" s="94"/>
      <c r="D482" s="203"/>
      <c r="E482" s="257"/>
    </row>
    <row r="483" spans="1:5" s="71" customFormat="1" x14ac:dyDescent="0.25">
      <c r="A483" s="48" t="s">
        <v>281</v>
      </c>
      <c r="B483" s="131">
        <f>STDEV(B486:B488)</f>
        <v>33.977051078632506</v>
      </c>
      <c r="C483" s="8"/>
      <c r="D483" s="203"/>
      <c r="E483" s="257"/>
    </row>
    <row r="484" spans="1:5" s="71" customFormat="1" x14ac:dyDescent="0.25">
      <c r="A484" s="19" t="s">
        <v>279</v>
      </c>
      <c r="B484" s="37">
        <f>AVERAGE(B486:B488)</f>
        <v>85.399999999999991</v>
      </c>
      <c r="D484" s="203"/>
      <c r="E484" s="257"/>
    </row>
    <row r="485" spans="1:5" s="71" customFormat="1" ht="15.75" thickBot="1" x14ac:dyDescent="0.3">
      <c r="A485" s="48" t="s">
        <v>283</v>
      </c>
      <c r="B485" s="202">
        <f>CONFIDENCE(0.05,B483,B482)</f>
        <v>38.447946286557936</v>
      </c>
      <c r="C485" s="94"/>
      <c r="D485" s="203"/>
      <c r="E485" s="257"/>
    </row>
    <row r="486" spans="1:5" s="8" customFormat="1" x14ac:dyDescent="0.25">
      <c r="A486" s="82" t="s">
        <v>553</v>
      </c>
      <c r="B486" s="128">
        <v>115.2</v>
      </c>
      <c r="C486" s="98" t="s">
        <v>487</v>
      </c>
      <c r="D486" s="203" t="s">
        <v>565</v>
      </c>
      <c r="E486" s="252"/>
    </row>
    <row r="487" spans="1:5" s="71" customFormat="1" x14ac:dyDescent="0.25">
      <c r="A487" s="19" t="s">
        <v>554</v>
      </c>
      <c r="B487" s="44">
        <v>92.6</v>
      </c>
      <c r="C487" s="59" t="s">
        <v>487</v>
      </c>
      <c r="D487" s="203" t="s">
        <v>550</v>
      </c>
      <c r="E487" s="257"/>
    </row>
    <row r="488" spans="1:5" s="71" customFormat="1" ht="15.75" thickBot="1" x14ac:dyDescent="0.3">
      <c r="A488" s="27" t="s">
        <v>564</v>
      </c>
      <c r="B488" s="328">
        <v>48.4</v>
      </c>
      <c r="C488" s="54" t="s">
        <v>487</v>
      </c>
      <c r="D488" s="248" t="s">
        <v>441</v>
      </c>
      <c r="E488" s="257"/>
    </row>
    <row r="489" spans="1:5" s="71" customFormat="1" ht="15.75" thickBot="1" x14ac:dyDescent="0.3">
      <c r="B489" s="14"/>
      <c r="C489" s="94"/>
      <c r="D489" s="203"/>
      <c r="E489" s="257"/>
    </row>
    <row r="490" spans="1:5" s="71" customFormat="1" x14ac:dyDescent="0.25">
      <c r="A490" s="39" t="s">
        <v>555</v>
      </c>
      <c r="B490" s="175">
        <f>B493</f>
        <v>144.14666666666668</v>
      </c>
      <c r="C490" s="94"/>
      <c r="D490" s="203"/>
      <c r="E490" s="257"/>
    </row>
    <row r="491" spans="1:5" s="71" customFormat="1" x14ac:dyDescent="0.25">
      <c r="A491" s="19" t="s">
        <v>295</v>
      </c>
      <c r="B491" s="26">
        <f>COUNT(B495:B500)</f>
        <v>6</v>
      </c>
      <c r="C491" s="94"/>
      <c r="D491" s="203"/>
      <c r="E491" s="257"/>
    </row>
    <row r="492" spans="1:5" s="71" customFormat="1" x14ac:dyDescent="0.25">
      <c r="A492" s="48" t="s">
        <v>281</v>
      </c>
      <c r="B492" s="131">
        <f>STDEV(B495:B500)</f>
        <v>68.428348413991884</v>
      </c>
      <c r="C492" s="8"/>
      <c r="D492" s="203"/>
      <c r="E492" s="257"/>
    </row>
    <row r="493" spans="1:5" s="71" customFormat="1" x14ac:dyDescent="0.25">
      <c r="A493" s="19" t="s">
        <v>279</v>
      </c>
      <c r="B493" s="37">
        <f>AVERAGE(B495:B500)</f>
        <v>144.14666666666668</v>
      </c>
      <c r="D493" s="203"/>
      <c r="E493" s="257"/>
    </row>
    <row r="494" spans="1:5" s="71" customFormat="1" ht="15.75" thickBot="1" x14ac:dyDescent="0.3">
      <c r="A494" s="48" t="s">
        <v>283</v>
      </c>
      <c r="B494" s="202">
        <f>CONFIDENCE(0.05,B492,B491)</f>
        <v>54.75307614907382</v>
      </c>
      <c r="C494" s="94"/>
      <c r="D494" s="203"/>
      <c r="E494" s="257"/>
    </row>
    <row r="495" spans="1:5" s="71" customFormat="1" x14ac:dyDescent="0.25">
      <c r="A495" s="17" t="s">
        <v>551</v>
      </c>
      <c r="B495" s="127">
        <v>126</v>
      </c>
      <c r="C495" s="98" t="s">
        <v>487</v>
      </c>
      <c r="D495" s="50" t="s">
        <v>572</v>
      </c>
      <c r="E495" s="257"/>
    </row>
    <row r="496" spans="1:5" s="71" customFormat="1" x14ac:dyDescent="0.25">
      <c r="A496" s="19" t="s">
        <v>552</v>
      </c>
      <c r="B496" s="16">
        <v>112</v>
      </c>
      <c r="C496" s="59" t="s">
        <v>487</v>
      </c>
      <c r="D496" s="50" t="s">
        <v>574</v>
      </c>
      <c r="E496" s="257"/>
    </row>
    <row r="497" spans="1:5" s="71" customFormat="1" x14ac:dyDescent="0.25">
      <c r="A497" s="19" t="s">
        <v>571</v>
      </c>
      <c r="B497" s="16">
        <v>83.25</v>
      </c>
      <c r="C497" s="59" t="s">
        <v>487</v>
      </c>
      <c r="D497" s="50" t="s">
        <v>578</v>
      </c>
      <c r="E497" s="257"/>
    </row>
    <row r="498" spans="1:5" s="71" customFormat="1" x14ac:dyDescent="0.25">
      <c r="A498" s="19" t="s">
        <v>573</v>
      </c>
      <c r="B498" s="16">
        <v>235</v>
      </c>
      <c r="C498" s="59" t="s">
        <v>487</v>
      </c>
      <c r="D498" s="50" t="s">
        <v>576</v>
      </c>
      <c r="E498" s="257"/>
    </row>
    <row r="499" spans="1:5" s="71" customFormat="1" x14ac:dyDescent="0.25">
      <c r="A499" s="19" t="s">
        <v>575</v>
      </c>
      <c r="B499" s="16">
        <v>224.6</v>
      </c>
      <c r="C499" s="59" t="s">
        <v>487</v>
      </c>
      <c r="D499" s="203" t="s">
        <v>202</v>
      </c>
      <c r="E499" s="257"/>
    </row>
    <row r="500" spans="1:5" s="71" customFormat="1" ht="15.75" thickBot="1" x14ac:dyDescent="0.3">
      <c r="A500" s="27" t="s">
        <v>577</v>
      </c>
      <c r="B500" s="45">
        <v>84.03</v>
      </c>
      <c r="C500" s="54" t="s">
        <v>487</v>
      </c>
      <c r="D500" s="203" t="s">
        <v>550</v>
      </c>
      <c r="E500" s="257"/>
    </row>
    <row r="501" spans="1:5" s="71" customFormat="1" ht="15.75" thickBot="1" x14ac:dyDescent="0.3">
      <c r="B501" s="14"/>
      <c r="C501" s="94"/>
      <c r="D501" s="203"/>
      <c r="E501" s="257"/>
    </row>
    <row r="502" spans="1:5" s="71" customFormat="1" x14ac:dyDescent="0.25">
      <c r="A502" s="39" t="s">
        <v>558</v>
      </c>
      <c r="B502" s="175">
        <f>B505</f>
        <v>99.923333333333332</v>
      </c>
      <c r="C502" s="94"/>
      <c r="D502" s="203"/>
      <c r="E502" s="257"/>
    </row>
    <row r="503" spans="1:5" s="71" customFormat="1" x14ac:dyDescent="0.25">
      <c r="A503" s="19" t="s">
        <v>295</v>
      </c>
      <c r="B503" s="26">
        <f>COUNT(B507:B509)</f>
        <v>3</v>
      </c>
      <c r="C503" s="94"/>
      <c r="D503" s="203"/>
      <c r="E503" s="257"/>
    </row>
    <row r="504" spans="1:5" s="71" customFormat="1" x14ac:dyDescent="0.25">
      <c r="A504" s="48" t="s">
        <v>281</v>
      </c>
      <c r="B504" s="131">
        <f>STDEV(B507:B509)</f>
        <v>34.775100766688425</v>
      </c>
      <c r="C504" s="94"/>
      <c r="D504" s="203"/>
      <c r="E504" s="257"/>
    </row>
    <row r="505" spans="1:5" s="71" customFormat="1" x14ac:dyDescent="0.25">
      <c r="A505" s="19" t="s">
        <v>279</v>
      </c>
      <c r="B505" s="37">
        <f>AVERAGE(B507:B509)</f>
        <v>99.923333333333332</v>
      </c>
      <c r="C505" s="94"/>
      <c r="D505" s="203"/>
      <c r="E505" s="257"/>
    </row>
    <row r="506" spans="1:5" s="71" customFormat="1" ht="15.75" thickBot="1" x14ac:dyDescent="0.3">
      <c r="A506" s="48" t="s">
        <v>283</v>
      </c>
      <c r="B506" s="202">
        <f>CONFIDENCE(0.05,B504,B503)</f>
        <v>39.351007928645956</v>
      </c>
      <c r="D506" s="203"/>
      <c r="E506" s="257"/>
    </row>
    <row r="507" spans="1:5" s="71" customFormat="1" x14ac:dyDescent="0.25">
      <c r="A507" s="17" t="s">
        <v>220</v>
      </c>
      <c r="B507" s="127">
        <v>119.7</v>
      </c>
      <c r="C507" s="98" t="s">
        <v>487</v>
      </c>
      <c r="D507" s="69" t="s">
        <v>333</v>
      </c>
      <c r="E507" s="257"/>
    </row>
    <row r="508" spans="1:5" s="71" customFormat="1" x14ac:dyDescent="0.25">
      <c r="A508" s="19" t="s">
        <v>221</v>
      </c>
      <c r="B508" s="16">
        <v>59.77</v>
      </c>
      <c r="C508" s="59" t="s">
        <v>487</v>
      </c>
      <c r="D508" s="50" t="s">
        <v>557</v>
      </c>
      <c r="E508" s="257"/>
    </row>
    <row r="509" spans="1:5" s="71" customFormat="1" ht="15.75" thickBot="1" x14ac:dyDescent="0.3">
      <c r="A509" s="27" t="s">
        <v>259</v>
      </c>
      <c r="B509" s="328">
        <v>120.3</v>
      </c>
      <c r="C509" s="54" t="s">
        <v>487</v>
      </c>
      <c r="D509" s="50" t="s">
        <v>559</v>
      </c>
      <c r="E509" s="257"/>
    </row>
    <row r="510" spans="1:5" s="71" customFormat="1" ht="15.75" thickBot="1" x14ac:dyDescent="0.3">
      <c r="B510" s="14"/>
      <c r="C510" s="94"/>
      <c r="D510" s="203"/>
      <c r="E510" s="257"/>
    </row>
    <row r="511" spans="1:5" s="71" customFormat="1" x14ac:dyDescent="0.25">
      <c r="A511" s="39" t="s">
        <v>549</v>
      </c>
      <c r="B511" s="261">
        <f>B514</f>
        <v>72.543333333333337</v>
      </c>
      <c r="C511" s="94"/>
      <c r="D511" s="203"/>
      <c r="E511" s="257"/>
    </row>
    <row r="512" spans="1:5" s="71" customFormat="1" x14ac:dyDescent="0.25">
      <c r="A512" s="19" t="s">
        <v>295</v>
      </c>
      <c r="B512" s="26">
        <f>COUNT(B516:B518)</f>
        <v>3</v>
      </c>
      <c r="C512" s="94"/>
      <c r="D512" s="203"/>
      <c r="E512" s="257"/>
    </row>
    <row r="513" spans="1:9" s="71" customFormat="1" x14ac:dyDescent="0.25">
      <c r="A513" s="48" t="s">
        <v>281</v>
      </c>
      <c r="B513" s="131">
        <f>STDEV(B516:B518)</f>
        <v>27.857233052357003</v>
      </c>
      <c r="C513" s="8"/>
      <c r="D513" s="203"/>
      <c r="E513" s="257"/>
    </row>
    <row r="514" spans="1:9" s="71" customFormat="1" x14ac:dyDescent="0.25">
      <c r="A514" s="19" t="s">
        <v>279</v>
      </c>
      <c r="B514" s="37">
        <f>AVERAGE(B516:B518)</f>
        <v>72.543333333333337</v>
      </c>
      <c r="D514" s="50"/>
      <c r="E514" s="257"/>
    </row>
    <row r="515" spans="1:9" s="71" customFormat="1" ht="15.75" thickBot="1" x14ac:dyDescent="0.3">
      <c r="A515" s="48" t="s">
        <v>283</v>
      </c>
      <c r="B515" s="202">
        <f>CONFIDENCE(0.05,B513,B512)</f>
        <v>31.522847512882386</v>
      </c>
      <c r="C515" s="94"/>
      <c r="D515" s="203"/>
      <c r="E515" s="257"/>
    </row>
    <row r="516" spans="1:9" s="71" customFormat="1" x14ac:dyDescent="0.25">
      <c r="A516" s="17" t="s">
        <v>544</v>
      </c>
      <c r="B516" s="128">
        <v>83.36</v>
      </c>
      <c r="C516" s="98" t="s">
        <v>487</v>
      </c>
      <c r="D516" s="50" t="s">
        <v>546</v>
      </c>
      <c r="E516" s="257"/>
    </row>
    <row r="517" spans="1:9" s="71" customFormat="1" x14ac:dyDescent="0.25">
      <c r="A517" s="19" t="s">
        <v>545</v>
      </c>
      <c r="B517" s="44">
        <v>93.37</v>
      </c>
      <c r="C517" s="59" t="s">
        <v>487</v>
      </c>
      <c r="D517" s="50" t="s">
        <v>548</v>
      </c>
      <c r="E517" s="257"/>
    </row>
    <row r="518" spans="1:9" s="71" customFormat="1" ht="15.75" thickBot="1" x14ac:dyDescent="0.3">
      <c r="A518" s="27" t="s">
        <v>547</v>
      </c>
      <c r="B518" s="328">
        <v>40.9</v>
      </c>
      <c r="C518" s="54" t="s">
        <v>487</v>
      </c>
      <c r="D518" s="280" t="s">
        <v>442</v>
      </c>
      <c r="E518" s="257"/>
    </row>
    <row r="519" spans="1:9" ht="15.75" thickBot="1" x14ac:dyDescent="0.3">
      <c r="A519" s="71"/>
      <c r="B519" s="71"/>
      <c r="C519" s="71"/>
      <c r="E519" s="71"/>
      <c r="F519" s="71"/>
      <c r="G519" s="71"/>
      <c r="H519" s="71"/>
      <c r="I519" s="71"/>
    </row>
    <row r="520" spans="1:9" x14ac:dyDescent="0.25">
      <c r="A520" s="39" t="s">
        <v>537</v>
      </c>
      <c r="B520" s="177">
        <f>B523</f>
        <v>63.031957500000004</v>
      </c>
      <c r="C520" s="129"/>
      <c r="E520" s="71"/>
      <c r="F520" s="71"/>
      <c r="G520" s="71"/>
      <c r="H520" s="71"/>
      <c r="I520" s="71"/>
    </row>
    <row r="521" spans="1:9" s="71" customFormat="1" x14ac:dyDescent="0.25">
      <c r="A521" s="19" t="s">
        <v>295</v>
      </c>
      <c r="B521" s="26">
        <f>COUNT(B525:B528)</f>
        <v>4</v>
      </c>
      <c r="C521" s="129"/>
      <c r="D521" s="203"/>
    </row>
    <row r="522" spans="1:9" s="71" customFormat="1" x14ac:dyDescent="0.25">
      <c r="A522" s="48" t="s">
        <v>281</v>
      </c>
      <c r="B522" s="131">
        <f>STDEV(B525:B528)</f>
        <v>20.157933233855065</v>
      </c>
      <c r="C522" s="129"/>
      <c r="D522" s="203"/>
    </row>
    <row r="523" spans="1:9" s="71" customFormat="1" x14ac:dyDescent="0.25">
      <c r="A523" s="19" t="s">
        <v>279</v>
      </c>
      <c r="B523" s="37">
        <f>AVERAGE(B525:B528)</f>
        <v>63.031957500000004</v>
      </c>
      <c r="D523" s="203"/>
    </row>
    <row r="524" spans="1:9" s="71" customFormat="1" ht="15.75" thickBot="1" x14ac:dyDescent="0.3">
      <c r="A524" s="48" t="s">
        <v>283</v>
      </c>
      <c r="B524" s="202">
        <f>CONFIDENCE(0.05,B522,B521)</f>
        <v>19.754411570559469</v>
      </c>
      <c r="C524" s="129"/>
      <c r="D524" s="203"/>
    </row>
    <row r="525" spans="1:9" s="71" customFormat="1" x14ac:dyDescent="0.25">
      <c r="A525" s="82" t="s">
        <v>534</v>
      </c>
      <c r="B525" s="282">
        <f>82.75</f>
        <v>82.75</v>
      </c>
      <c r="C525" s="290" t="s">
        <v>487</v>
      </c>
      <c r="D525" s="71" t="s">
        <v>568</v>
      </c>
      <c r="E525" s="8" t="s">
        <v>510</v>
      </c>
    </row>
    <row r="526" spans="1:9" s="71" customFormat="1" x14ac:dyDescent="0.25">
      <c r="A526" s="40" t="s">
        <v>535</v>
      </c>
      <c r="B526" s="222">
        <v>60.417830000000009</v>
      </c>
      <c r="C526" s="289" t="s">
        <v>487</v>
      </c>
      <c r="D526" s="8" t="s">
        <v>510</v>
      </c>
      <c r="E526" s="71" t="s">
        <v>568</v>
      </c>
    </row>
    <row r="527" spans="1:9" s="71" customFormat="1" x14ac:dyDescent="0.25">
      <c r="A527" s="40" t="s">
        <v>567</v>
      </c>
      <c r="B527" s="222">
        <v>36.08</v>
      </c>
      <c r="C527" s="289" t="s">
        <v>487</v>
      </c>
      <c r="D527" s="71" t="s">
        <v>536</v>
      </c>
      <c r="E527" s="71" t="s">
        <v>570</v>
      </c>
    </row>
    <row r="528" spans="1:9" s="71" customFormat="1" ht="15.75" thickBot="1" x14ac:dyDescent="0.3">
      <c r="A528" s="21" t="s">
        <v>569</v>
      </c>
      <c r="B528" s="276">
        <v>72.88</v>
      </c>
      <c r="C528" s="303" t="s">
        <v>487</v>
      </c>
      <c r="D528" s="71" t="s">
        <v>570</v>
      </c>
      <c r="E528" s="71" t="s">
        <v>536</v>
      </c>
    </row>
    <row r="529" spans="1:9" s="71" customFormat="1" ht="15.75" thickBot="1" x14ac:dyDescent="0.3">
      <c r="D529" s="50"/>
      <c r="E529" s="257"/>
    </row>
    <row r="530" spans="1:9" s="71" customFormat="1" x14ac:dyDescent="0.25">
      <c r="A530" s="39" t="s">
        <v>560</v>
      </c>
      <c r="B530" s="175">
        <f>B533</f>
        <v>43.966666666666669</v>
      </c>
      <c r="C530" s="129"/>
      <c r="D530" s="203"/>
      <c r="E530" s="8"/>
    </row>
    <row r="531" spans="1:9" s="71" customFormat="1" x14ac:dyDescent="0.25">
      <c r="A531" s="19" t="s">
        <v>295</v>
      </c>
      <c r="B531" s="26">
        <f>COUNT(B535:B537)</f>
        <v>3</v>
      </c>
      <c r="C531" s="129"/>
      <c r="D531" s="203"/>
      <c r="E531" s="8"/>
    </row>
    <row r="532" spans="1:9" s="71" customFormat="1" x14ac:dyDescent="0.25">
      <c r="A532" s="48" t="s">
        <v>281</v>
      </c>
      <c r="B532" s="131">
        <f>STDEV(B535:B537)</f>
        <v>33.931155791297954</v>
      </c>
      <c r="C532" s="129"/>
      <c r="D532" s="203"/>
      <c r="E532" s="8"/>
    </row>
    <row r="533" spans="1:9" s="71" customFormat="1" x14ac:dyDescent="0.25">
      <c r="A533" s="19" t="s">
        <v>279</v>
      </c>
      <c r="B533" s="37">
        <f>AVERAGE(B535:B537)</f>
        <v>43.966666666666669</v>
      </c>
      <c r="D533" s="203"/>
      <c r="E533" s="8"/>
    </row>
    <row r="534" spans="1:9" s="71" customFormat="1" ht="15.75" thickBot="1" x14ac:dyDescent="0.3">
      <c r="A534" s="48" t="s">
        <v>283</v>
      </c>
      <c r="B534" s="202">
        <f>CONFIDENCE(0.05,B532,B531)</f>
        <v>38.396011834148837</v>
      </c>
      <c r="C534" s="129"/>
      <c r="D534" s="203"/>
      <c r="E534" s="8"/>
    </row>
    <row r="535" spans="1:9" s="71" customFormat="1" x14ac:dyDescent="0.25">
      <c r="A535" s="82" t="s">
        <v>562</v>
      </c>
      <c r="B535" s="128">
        <v>19</v>
      </c>
      <c r="C535" s="290" t="s">
        <v>487</v>
      </c>
      <c r="D535" s="71" t="s">
        <v>565</v>
      </c>
    </row>
    <row r="536" spans="1:9" s="71" customFormat="1" x14ac:dyDescent="0.25">
      <c r="A536" s="40" t="s">
        <v>563</v>
      </c>
      <c r="B536" s="44">
        <v>82.6</v>
      </c>
      <c r="C536" s="289" t="s">
        <v>487</v>
      </c>
      <c r="D536" s="71" t="s">
        <v>536</v>
      </c>
    </row>
    <row r="537" spans="1:9" s="71" customFormat="1" ht="15.75" thickBot="1" x14ac:dyDescent="0.3">
      <c r="A537" s="21" t="s">
        <v>561</v>
      </c>
      <c r="B537" s="45">
        <v>30.3</v>
      </c>
      <c r="C537" s="303" t="s">
        <v>487</v>
      </c>
      <c r="D537" s="8" t="s">
        <v>465</v>
      </c>
    </row>
    <row r="538" spans="1:9" x14ac:dyDescent="0.25">
      <c r="A538" s="71"/>
      <c r="B538" s="14"/>
      <c r="C538" s="71"/>
      <c r="E538" s="71"/>
      <c r="F538" s="71"/>
      <c r="G538" s="71"/>
      <c r="H538" s="71"/>
      <c r="I538" s="71"/>
    </row>
    <row r="539" spans="1:9" s="71" customFormat="1" x14ac:dyDescent="0.25">
      <c r="A539" s="383" t="s">
        <v>1037</v>
      </c>
      <c r="B539" s="384"/>
      <c r="C539" s="287"/>
      <c r="D539" s="287"/>
      <c r="E539" s="287"/>
      <c r="F539" s="287"/>
    </row>
    <row r="540" spans="1:9" s="71" customFormat="1" ht="15.75" thickBot="1" x14ac:dyDescent="0.3">
      <c r="A540" s="383"/>
      <c r="B540" s="384"/>
      <c r="C540" s="287"/>
      <c r="D540" s="287"/>
      <c r="E540" s="287"/>
      <c r="F540" s="287"/>
    </row>
    <row r="541" spans="1:9" s="71" customFormat="1" x14ac:dyDescent="0.25">
      <c r="A541" s="385" t="s">
        <v>1038</v>
      </c>
      <c r="B541" s="386">
        <f>B544</f>
        <v>21.123125000000002</v>
      </c>
      <c r="C541" s="287"/>
      <c r="D541" s="287"/>
      <c r="E541" s="287"/>
      <c r="F541" s="287"/>
    </row>
    <row r="542" spans="1:9" s="71" customFormat="1" x14ac:dyDescent="0.25">
      <c r="A542" s="387" t="s">
        <v>295</v>
      </c>
      <c r="B542" s="388">
        <f>COUNT(B546:B561)</f>
        <v>16</v>
      </c>
      <c r="C542" s="287"/>
      <c r="D542" s="287"/>
      <c r="E542" s="287"/>
      <c r="F542" s="287"/>
    </row>
    <row r="543" spans="1:9" s="71" customFormat="1" x14ac:dyDescent="0.25">
      <c r="A543" s="387" t="s">
        <v>281</v>
      </c>
      <c r="B543" s="388">
        <f>STDEV(B546:B561)</f>
        <v>5.0444474011861118</v>
      </c>
      <c r="C543" s="248"/>
      <c r="D543" s="287"/>
      <c r="E543" s="287"/>
      <c r="F543" s="287"/>
    </row>
    <row r="544" spans="1:9" s="71" customFormat="1" x14ac:dyDescent="0.25">
      <c r="A544" s="387" t="s">
        <v>279</v>
      </c>
      <c r="B544" s="388">
        <f>AVERAGE(B546:B561)</f>
        <v>21.123125000000002</v>
      </c>
      <c r="C544" s="287"/>
      <c r="D544" s="287"/>
      <c r="E544" s="287"/>
      <c r="F544" s="287"/>
    </row>
    <row r="545" spans="1:9" s="71" customFormat="1" ht="15.75" thickBot="1" x14ac:dyDescent="0.3">
      <c r="A545" s="389" t="s">
        <v>283</v>
      </c>
      <c r="B545" s="390">
        <f>CONFIDENCE(0.05,B543,B542)</f>
        <v>2.4717338070578627</v>
      </c>
      <c r="C545" s="287"/>
      <c r="D545" s="287"/>
      <c r="E545" s="287"/>
      <c r="F545" s="287"/>
    </row>
    <row r="546" spans="1:9" s="71" customFormat="1" x14ac:dyDescent="0.25">
      <c r="A546" s="391" t="s">
        <v>1039</v>
      </c>
      <c r="B546" s="392">
        <v>17.5</v>
      </c>
      <c r="C546" s="393" t="s">
        <v>1040</v>
      </c>
      <c r="D546" s="287" t="s">
        <v>1041</v>
      </c>
      <c r="E546" s="287"/>
      <c r="F546" s="287"/>
    </row>
    <row r="547" spans="1:9" s="71" customFormat="1" x14ac:dyDescent="0.25">
      <c r="A547" s="387" t="s">
        <v>1042</v>
      </c>
      <c r="B547" s="394">
        <f>AVERAGE(15,38)</f>
        <v>26.5</v>
      </c>
      <c r="C547" s="395" t="s">
        <v>1040</v>
      </c>
      <c r="D547" s="287" t="s">
        <v>1043</v>
      </c>
      <c r="E547" s="287"/>
      <c r="F547" s="287"/>
    </row>
    <row r="548" spans="1:9" s="71" customFormat="1" x14ac:dyDescent="0.25">
      <c r="A548" s="387" t="s">
        <v>1044</v>
      </c>
      <c r="B548" s="396">
        <v>18.899999999999999</v>
      </c>
      <c r="C548" s="395" t="s">
        <v>1040</v>
      </c>
      <c r="D548" s="287" t="s">
        <v>1045</v>
      </c>
      <c r="E548" s="287"/>
      <c r="F548" s="287"/>
    </row>
    <row r="549" spans="1:9" s="71" customFormat="1" x14ac:dyDescent="0.25">
      <c r="A549" s="387" t="s">
        <v>1046</v>
      </c>
      <c r="B549" s="394">
        <f>AVERAGE(15.1, 25.1)</f>
        <v>20.100000000000001</v>
      </c>
      <c r="C549" s="395" t="s">
        <v>1040</v>
      </c>
      <c r="D549" s="287" t="s">
        <v>1047</v>
      </c>
      <c r="E549" s="287"/>
      <c r="F549" s="287"/>
    </row>
    <row r="550" spans="1:9" s="71" customFormat="1" x14ac:dyDescent="0.25">
      <c r="A550" s="387" t="s">
        <v>1048</v>
      </c>
      <c r="B550" s="394">
        <v>16.920000000000002</v>
      </c>
      <c r="C550" s="395" t="s">
        <v>1040</v>
      </c>
      <c r="D550" s="287" t="s">
        <v>1049</v>
      </c>
      <c r="E550" s="287"/>
      <c r="F550" s="287"/>
    </row>
    <row r="551" spans="1:9" s="71" customFormat="1" x14ac:dyDescent="0.25">
      <c r="A551" s="387" t="s">
        <v>1050</v>
      </c>
      <c r="B551" s="396">
        <v>15.9</v>
      </c>
      <c r="C551" s="395" t="s">
        <v>1040</v>
      </c>
      <c r="D551" s="397" t="s">
        <v>1051</v>
      </c>
      <c r="E551" s="287"/>
      <c r="F551" s="287"/>
    </row>
    <row r="552" spans="1:9" s="71" customFormat="1" x14ac:dyDescent="0.25">
      <c r="A552" s="387" t="s">
        <v>1052</v>
      </c>
      <c r="B552" s="396">
        <v>12.4</v>
      </c>
      <c r="C552" s="398" t="s">
        <v>1040</v>
      </c>
      <c r="D552" s="397" t="s">
        <v>1053</v>
      </c>
      <c r="E552" s="287"/>
      <c r="F552" s="287"/>
    </row>
    <row r="553" spans="1:9" x14ac:dyDescent="0.25">
      <c r="A553" s="387" t="s">
        <v>1054</v>
      </c>
      <c r="B553" s="396">
        <v>21.8</v>
      </c>
      <c r="C553" s="398" t="s">
        <v>1040</v>
      </c>
      <c r="D553" s="397" t="s">
        <v>89</v>
      </c>
      <c r="E553" s="287"/>
      <c r="F553" s="287"/>
      <c r="G553" s="71"/>
      <c r="H553" s="71"/>
      <c r="I553" s="71"/>
    </row>
    <row r="554" spans="1:9" x14ac:dyDescent="0.25">
      <c r="A554" s="387" t="s">
        <v>1055</v>
      </c>
      <c r="B554" s="396">
        <v>20.05</v>
      </c>
      <c r="C554" s="398" t="s">
        <v>1040</v>
      </c>
      <c r="D554" s="397" t="s">
        <v>1056</v>
      </c>
      <c r="E554" s="287" t="s">
        <v>1057</v>
      </c>
      <c r="F554" s="287"/>
      <c r="G554" s="71"/>
      <c r="H554" s="71"/>
      <c r="I554" s="71"/>
    </row>
    <row r="555" spans="1:9" x14ac:dyDescent="0.25">
      <c r="A555" s="387" t="s">
        <v>1058</v>
      </c>
      <c r="B555" s="396">
        <v>26.86</v>
      </c>
      <c r="C555" s="398" t="s">
        <v>1040</v>
      </c>
      <c r="D555" s="397" t="s">
        <v>1059</v>
      </c>
      <c r="E555" s="287"/>
      <c r="F555" s="287"/>
      <c r="G555" s="71"/>
      <c r="H555" s="71"/>
      <c r="I555" s="71"/>
    </row>
    <row r="556" spans="1:9" s="71" customFormat="1" x14ac:dyDescent="0.25">
      <c r="A556" s="387" t="s">
        <v>1060</v>
      </c>
      <c r="B556" s="396">
        <v>32.9</v>
      </c>
      <c r="C556" s="398" t="s">
        <v>1040</v>
      </c>
      <c r="D556" s="397" t="s">
        <v>1061</v>
      </c>
      <c r="E556" s="287"/>
      <c r="F556" s="287"/>
    </row>
    <row r="557" spans="1:9" s="71" customFormat="1" x14ac:dyDescent="0.25">
      <c r="A557" s="387" t="s">
        <v>1062</v>
      </c>
      <c r="B557" s="396">
        <v>17.22</v>
      </c>
      <c r="C557" s="398" t="s">
        <v>1040</v>
      </c>
      <c r="D557" s="397" t="s">
        <v>1063</v>
      </c>
      <c r="E557" s="287"/>
      <c r="F557" s="287"/>
    </row>
    <row r="558" spans="1:9" x14ac:dyDescent="0.25">
      <c r="A558" s="387" t="s">
        <v>1064</v>
      </c>
      <c r="B558" s="396">
        <v>24</v>
      </c>
      <c r="C558" s="398" t="s">
        <v>1040</v>
      </c>
      <c r="D558" s="397" t="s">
        <v>1065</v>
      </c>
      <c r="E558" s="287"/>
      <c r="F558" s="287"/>
      <c r="G558" s="71"/>
      <c r="H558" s="71"/>
      <c r="I558" s="71"/>
    </row>
    <row r="559" spans="1:9" x14ac:dyDescent="0.25">
      <c r="A559" s="387" t="s">
        <v>1066</v>
      </c>
      <c r="B559" s="396">
        <f>(25.7+24.3)/2</f>
        <v>25</v>
      </c>
      <c r="C559" s="398" t="s">
        <v>1040</v>
      </c>
      <c r="D559" s="397" t="s">
        <v>1067</v>
      </c>
      <c r="E559" s="287"/>
      <c r="F559" s="287"/>
      <c r="G559" s="71"/>
      <c r="H559" s="71"/>
      <c r="I559" s="71"/>
    </row>
    <row r="560" spans="1:9" x14ac:dyDescent="0.25">
      <c r="A560" s="387" t="s">
        <v>1068</v>
      </c>
      <c r="B560" s="396">
        <v>20.32</v>
      </c>
      <c r="C560" s="398" t="s">
        <v>1040</v>
      </c>
      <c r="D560" s="397" t="s">
        <v>1069</v>
      </c>
      <c r="E560" s="287"/>
      <c r="F560" s="287"/>
      <c r="G560" s="71"/>
      <c r="H560" s="71"/>
      <c r="I560" s="71"/>
    </row>
    <row r="561" spans="1:14" ht="15.75" thickBot="1" x14ac:dyDescent="0.3">
      <c r="A561" s="389" t="s">
        <v>1070</v>
      </c>
      <c r="B561" s="399">
        <v>21.6</v>
      </c>
      <c r="C561" s="400" t="s">
        <v>1040</v>
      </c>
      <c r="D561" s="397" t="s">
        <v>1071</v>
      </c>
      <c r="E561" s="287"/>
      <c r="F561" s="287"/>
      <c r="G561" s="71"/>
      <c r="H561" s="71"/>
      <c r="I561" s="71"/>
      <c r="J561" s="71"/>
      <c r="K561" s="71"/>
      <c r="L561" s="71"/>
      <c r="M561" s="71"/>
      <c r="N561" s="71"/>
    </row>
    <row r="562" spans="1:14" ht="15.75" thickBot="1" x14ac:dyDescent="0.3">
      <c r="A562" s="401"/>
      <c r="B562" s="396"/>
      <c r="C562" s="248"/>
      <c r="D562" s="397"/>
      <c r="E562" s="287"/>
      <c r="F562" s="287"/>
      <c r="G562" s="71"/>
      <c r="H562" s="71"/>
      <c r="I562" s="71"/>
      <c r="J562" s="71"/>
      <c r="K562" s="71"/>
      <c r="L562" s="71"/>
      <c r="M562" s="71"/>
      <c r="N562" s="71"/>
    </row>
    <row r="563" spans="1:14" x14ac:dyDescent="0.25">
      <c r="A563" s="385" t="s">
        <v>1072</v>
      </c>
      <c r="B563" s="386">
        <f>B566</f>
        <v>14.181666666666665</v>
      </c>
      <c r="C563" s="248"/>
      <c r="D563" s="397"/>
      <c r="E563" s="287"/>
      <c r="F563" s="287"/>
      <c r="G563" s="71"/>
      <c r="H563" s="71"/>
      <c r="I563" s="71"/>
      <c r="J563" s="71"/>
      <c r="K563" s="71"/>
      <c r="L563" s="71"/>
      <c r="M563" s="71"/>
      <c r="N563" s="71"/>
    </row>
    <row r="564" spans="1:14" x14ac:dyDescent="0.25">
      <c r="A564" s="387" t="s">
        <v>295</v>
      </c>
      <c r="B564" s="388">
        <f>COUNT(B568:B579)</f>
        <v>12</v>
      </c>
      <c r="C564" s="248"/>
      <c r="D564" s="397"/>
      <c r="E564" s="287"/>
      <c r="F564" s="287"/>
      <c r="G564" s="71"/>
      <c r="H564" s="71"/>
      <c r="I564" s="71"/>
      <c r="J564" s="71"/>
      <c r="K564" s="71"/>
      <c r="L564" s="71"/>
      <c r="M564" s="71"/>
      <c r="N564" s="71"/>
    </row>
    <row r="565" spans="1:14" x14ac:dyDescent="0.25">
      <c r="A565" s="387" t="s">
        <v>281</v>
      </c>
      <c r="B565" s="388">
        <f>STDEV(B568:B579)</f>
        <v>6.5869317361704693</v>
      </c>
      <c r="C565" s="248"/>
      <c r="D565" s="397"/>
      <c r="E565" s="287"/>
      <c r="F565" s="287"/>
      <c r="G565" s="71"/>
      <c r="H565" s="71"/>
      <c r="I565" s="71"/>
      <c r="J565" s="71"/>
      <c r="K565" s="71"/>
      <c r="L565" s="71"/>
      <c r="M565" s="71"/>
      <c r="N565" s="71"/>
    </row>
    <row r="566" spans="1:14" x14ac:dyDescent="0.25">
      <c r="A566" s="387" t="s">
        <v>279</v>
      </c>
      <c r="B566" s="388">
        <f>AVERAGE(B568:B579)</f>
        <v>14.181666666666665</v>
      </c>
      <c r="C566" s="248"/>
      <c r="D566" s="397"/>
      <c r="E566" s="287"/>
      <c r="F566" s="287"/>
      <c r="G566" s="71"/>
      <c r="H566" s="71"/>
      <c r="I566" s="71"/>
    </row>
    <row r="567" spans="1:14" ht="15.75" thickBot="1" x14ac:dyDescent="0.3">
      <c r="A567" s="389" t="s">
        <v>283</v>
      </c>
      <c r="B567" s="390">
        <f>CONFIDENCE(0.05,B565,B564)</f>
        <v>3.7268389919920457</v>
      </c>
      <c r="C567" s="287"/>
      <c r="D567" s="287"/>
      <c r="E567" s="287"/>
      <c r="F567" s="287"/>
      <c r="G567" s="71"/>
      <c r="H567" s="71"/>
      <c r="I567" s="71"/>
    </row>
    <row r="568" spans="1:14" x14ac:dyDescent="0.25">
      <c r="A568" s="391" t="s">
        <v>1073</v>
      </c>
      <c r="B568" s="392">
        <v>9.3000000000000007</v>
      </c>
      <c r="C568" s="393" t="s">
        <v>1040</v>
      </c>
      <c r="D568" s="287" t="s">
        <v>1041</v>
      </c>
      <c r="E568" s="287"/>
      <c r="F568" s="287"/>
      <c r="G568" s="71"/>
      <c r="H568" s="71"/>
      <c r="I568" s="71"/>
    </row>
    <row r="569" spans="1:14" x14ac:dyDescent="0.25">
      <c r="A569" s="387" t="s">
        <v>1074</v>
      </c>
      <c r="B569" s="394">
        <f>AVERAGE(10.3,16.9)</f>
        <v>13.6</v>
      </c>
      <c r="C569" s="395" t="s">
        <v>1040</v>
      </c>
      <c r="D569" s="287" t="s">
        <v>1043</v>
      </c>
      <c r="E569" s="287"/>
      <c r="F569" s="287"/>
    </row>
    <row r="570" spans="1:14" x14ac:dyDescent="0.25">
      <c r="A570" s="387" t="s">
        <v>1075</v>
      </c>
      <c r="B570" s="396">
        <v>10.199999999999999</v>
      </c>
      <c r="C570" s="395" t="s">
        <v>1040</v>
      </c>
      <c r="D570" s="287" t="s">
        <v>1045</v>
      </c>
      <c r="E570" s="287"/>
      <c r="F570" s="287"/>
    </row>
    <row r="571" spans="1:14" x14ac:dyDescent="0.25">
      <c r="A571" s="387" t="s">
        <v>1076</v>
      </c>
      <c r="B571" s="394">
        <f>AVERAGE(9.5,15.9)</f>
        <v>12.7</v>
      </c>
      <c r="C571" s="395" t="s">
        <v>1040</v>
      </c>
      <c r="D571" s="287" t="s">
        <v>1047</v>
      </c>
      <c r="E571" s="287"/>
      <c r="F571" s="287"/>
    </row>
    <row r="572" spans="1:14" x14ac:dyDescent="0.25">
      <c r="A572" s="387" t="s">
        <v>1077</v>
      </c>
      <c r="B572" s="394">
        <v>12.7</v>
      </c>
      <c r="C572" s="395" t="s">
        <v>1040</v>
      </c>
      <c r="D572" s="287" t="s">
        <v>1049</v>
      </c>
      <c r="E572" s="287"/>
      <c r="F572" s="287"/>
    </row>
    <row r="573" spans="1:14" x14ac:dyDescent="0.25">
      <c r="A573" s="387" t="s">
        <v>1078</v>
      </c>
      <c r="B573" s="394">
        <v>31.3</v>
      </c>
      <c r="C573" s="395" t="s">
        <v>1040</v>
      </c>
      <c r="D573" s="287" t="s">
        <v>1079</v>
      </c>
      <c r="E573" s="287"/>
      <c r="F573" s="287"/>
    </row>
    <row r="574" spans="1:14" x14ac:dyDescent="0.25">
      <c r="A574" s="387" t="s">
        <v>1080</v>
      </c>
      <c r="B574" s="394">
        <v>10.3</v>
      </c>
      <c r="C574" s="395" t="s">
        <v>1040</v>
      </c>
      <c r="D574" s="287" t="s">
        <v>1051</v>
      </c>
      <c r="E574" s="287"/>
      <c r="F574" s="287"/>
    </row>
    <row r="575" spans="1:14" x14ac:dyDescent="0.25">
      <c r="A575" s="387" t="s">
        <v>1081</v>
      </c>
      <c r="B575" s="394">
        <v>9.1999999999999993</v>
      </c>
      <c r="C575" s="395" t="s">
        <v>1040</v>
      </c>
      <c r="D575" s="287" t="s">
        <v>1053</v>
      </c>
      <c r="E575" s="287"/>
      <c r="F575" s="287"/>
    </row>
    <row r="576" spans="1:14" x14ac:dyDescent="0.25">
      <c r="A576" s="387" t="s">
        <v>1082</v>
      </c>
      <c r="B576" s="394">
        <v>13.1</v>
      </c>
      <c r="C576" s="395" t="s">
        <v>1040</v>
      </c>
      <c r="D576" s="397" t="s">
        <v>1069</v>
      </c>
      <c r="E576" s="287"/>
      <c r="F576" s="287"/>
    </row>
    <row r="577" spans="1:14" x14ac:dyDescent="0.25">
      <c r="A577" s="387" t="s">
        <v>1083</v>
      </c>
      <c r="B577" s="394">
        <v>23.4</v>
      </c>
      <c r="C577" s="395" t="s">
        <v>1040</v>
      </c>
      <c r="D577" s="287" t="s">
        <v>1061</v>
      </c>
      <c r="E577" s="287"/>
      <c r="F577" s="287"/>
    </row>
    <row r="578" spans="1:14" x14ac:dyDescent="0.25">
      <c r="A578" s="387" t="s">
        <v>1084</v>
      </c>
      <c r="B578" s="394">
        <v>10.48</v>
      </c>
      <c r="C578" s="395" t="s">
        <v>1040</v>
      </c>
      <c r="D578" s="287" t="s">
        <v>1063</v>
      </c>
      <c r="E578" s="287"/>
      <c r="F578" s="287"/>
    </row>
    <row r="579" spans="1:14" ht="15.75" thickBot="1" x14ac:dyDescent="0.3">
      <c r="A579" s="389" t="s">
        <v>1085</v>
      </c>
      <c r="B579" s="402">
        <v>13.9</v>
      </c>
      <c r="C579" s="403" t="s">
        <v>1040</v>
      </c>
      <c r="D579" s="287" t="s">
        <v>1071</v>
      </c>
      <c r="E579" s="287"/>
      <c r="F579" s="287"/>
    </row>
    <row r="580" spans="1:14" ht="15.75" thickBot="1" x14ac:dyDescent="0.3">
      <c r="A580" s="287"/>
      <c r="B580" s="404"/>
      <c r="C580" s="287"/>
      <c r="D580" s="287"/>
      <c r="E580" s="287"/>
      <c r="F580" s="287"/>
      <c r="H580" s="71"/>
      <c r="I580" s="71"/>
      <c r="J580" s="71"/>
      <c r="K580" s="71"/>
      <c r="L580" s="71"/>
      <c r="M580" s="71"/>
      <c r="N580" s="71"/>
    </row>
    <row r="581" spans="1:14" x14ac:dyDescent="0.25">
      <c r="A581" s="385" t="s">
        <v>1086</v>
      </c>
      <c r="B581" s="386">
        <f>B584</f>
        <v>7.9250000000000007</v>
      </c>
      <c r="C581" s="287"/>
      <c r="D581" s="287"/>
      <c r="E581" s="287"/>
      <c r="F581" s="287"/>
      <c r="H581" s="71"/>
      <c r="I581" s="71"/>
      <c r="J581" s="71"/>
      <c r="K581" s="71"/>
      <c r="L581" s="71"/>
      <c r="M581" s="71"/>
      <c r="N581" s="71"/>
    </row>
    <row r="582" spans="1:14" x14ac:dyDescent="0.25">
      <c r="A582" s="387" t="s">
        <v>295</v>
      </c>
      <c r="B582" s="388">
        <f>COUNT(B586:B597)</f>
        <v>12</v>
      </c>
      <c r="C582" s="287"/>
      <c r="D582" s="287"/>
      <c r="E582" s="287"/>
      <c r="F582" s="287"/>
      <c r="H582" s="71"/>
      <c r="I582" s="71"/>
      <c r="J582" s="71"/>
      <c r="K582" s="71"/>
      <c r="L582" s="71"/>
      <c r="M582" s="71"/>
      <c r="N582" s="71"/>
    </row>
    <row r="583" spans="1:14" x14ac:dyDescent="0.25">
      <c r="A583" s="387" t="s">
        <v>281</v>
      </c>
      <c r="B583" s="388">
        <f>STDEV(B586:B597)</f>
        <v>1.8842963480495083</v>
      </c>
      <c r="C583" s="287"/>
      <c r="D583" s="287"/>
      <c r="E583" s="287"/>
      <c r="F583" s="287"/>
      <c r="H583" s="71"/>
      <c r="I583" s="71"/>
      <c r="J583" s="71"/>
      <c r="K583" s="71"/>
      <c r="L583" s="71"/>
      <c r="M583" s="71"/>
      <c r="N583" s="71"/>
    </row>
    <row r="584" spans="1:14" x14ac:dyDescent="0.25">
      <c r="A584" s="387" t="s">
        <v>279</v>
      </c>
      <c r="B584" s="388">
        <f>AVERAGE(B586:B597)</f>
        <v>7.9250000000000007</v>
      </c>
      <c r="C584" s="287"/>
      <c r="D584" s="287"/>
      <c r="E584" s="287"/>
      <c r="F584" s="287"/>
    </row>
    <row r="585" spans="1:14" ht="15.75" thickBot="1" x14ac:dyDescent="0.3">
      <c r="A585" s="389" t="s">
        <v>283</v>
      </c>
      <c r="B585" s="390">
        <f>CONFIDENCE(0.05,B583,B582)</f>
        <v>1.0661214331123261</v>
      </c>
      <c r="C585" s="287"/>
      <c r="D585" s="287"/>
      <c r="E585" s="287"/>
      <c r="F585" s="287"/>
      <c r="H585" s="71"/>
      <c r="I585" s="71"/>
      <c r="J585" s="71"/>
      <c r="K585" s="71"/>
      <c r="L585" s="71"/>
      <c r="M585" s="71"/>
      <c r="N585" s="71"/>
    </row>
    <row r="586" spans="1:14" x14ac:dyDescent="0.25">
      <c r="A586" s="391" t="s">
        <v>1087</v>
      </c>
      <c r="B586" s="405">
        <v>7.9</v>
      </c>
      <c r="C586" s="393" t="s">
        <v>1040</v>
      </c>
      <c r="D586" s="287" t="s">
        <v>1051</v>
      </c>
      <c r="E586" s="287"/>
      <c r="F586" s="287"/>
    </row>
    <row r="587" spans="1:14" x14ac:dyDescent="0.25">
      <c r="A587" s="387" t="s">
        <v>1088</v>
      </c>
      <c r="B587" s="394">
        <v>10.4</v>
      </c>
      <c r="C587" s="395" t="s">
        <v>1040</v>
      </c>
      <c r="D587" s="287" t="s">
        <v>1049</v>
      </c>
      <c r="E587" s="287"/>
      <c r="F587" s="287"/>
    </row>
    <row r="588" spans="1:14" x14ac:dyDescent="0.25">
      <c r="A588" s="387" t="s">
        <v>1089</v>
      </c>
      <c r="B588" s="394">
        <v>8.9</v>
      </c>
      <c r="C588" s="395" t="s">
        <v>1040</v>
      </c>
      <c r="D588" s="287" t="s">
        <v>1090</v>
      </c>
      <c r="E588" s="287"/>
      <c r="F588" s="287"/>
      <c r="H588" s="71"/>
      <c r="I588" s="71"/>
      <c r="J588" s="71"/>
      <c r="K588" s="71"/>
      <c r="L588" s="71"/>
      <c r="M588" s="71"/>
      <c r="N588" s="71"/>
    </row>
    <row r="589" spans="1:14" x14ac:dyDescent="0.25">
      <c r="A589" s="387" t="s">
        <v>1091</v>
      </c>
      <c r="B589" s="394">
        <f>AVERAGE(7.2,11.7)</f>
        <v>9.4499999999999993</v>
      </c>
      <c r="C589" s="395" t="s">
        <v>1040</v>
      </c>
      <c r="D589" s="287" t="s">
        <v>1047</v>
      </c>
      <c r="E589" s="287"/>
      <c r="F589" s="287"/>
      <c r="H589" s="71"/>
      <c r="I589" s="71"/>
      <c r="J589" s="71"/>
      <c r="K589" s="71"/>
      <c r="L589" s="71"/>
      <c r="M589" s="71"/>
      <c r="N589" s="71"/>
    </row>
    <row r="590" spans="1:14" x14ac:dyDescent="0.25">
      <c r="A590" s="387" t="s">
        <v>1092</v>
      </c>
      <c r="B590" s="394">
        <v>6.5</v>
      </c>
      <c r="C590" s="395" t="s">
        <v>1040</v>
      </c>
      <c r="D590" s="287" t="s">
        <v>1053</v>
      </c>
      <c r="E590" s="287"/>
      <c r="F590" s="287"/>
      <c r="H590" s="71"/>
      <c r="I590" s="71"/>
      <c r="J590" s="71"/>
      <c r="K590" s="71"/>
      <c r="L590" s="71"/>
      <c r="M590" s="71"/>
      <c r="N590" s="71"/>
    </row>
    <row r="591" spans="1:14" x14ac:dyDescent="0.25">
      <c r="A591" s="387" t="s">
        <v>1093</v>
      </c>
      <c r="B591" s="394">
        <v>6.7</v>
      </c>
      <c r="C591" s="395" t="s">
        <v>1040</v>
      </c>
      <c r="D591" s="287" t="s">
        <v>89</v>
      </c>
      <c r="E591" s="287"/>
      <c r="F591" s="287"/>
      <c r="H591" s="71"/>
      <c r="I591" s="71"/>
      <c r="J591" s="71"/>
      <c r="K591" s="71"/>
      <c r="L591" s="71"/>
      <c r="M591" s="71"/>
      <c r="N591" s="71"/>
    </row>
    <row r="592" spans="1:14" x14ac:dyDescent="0.25">
      <c r="A592" s="387" t="s">
        <v>1094</v>
      </c>
      <c r="B592" s="394">
        <v>5.48</v>
      </c>
      <c r="C592" s="395" t="s">
        <v>1040</v>
      </c>
      <c r="D592" s="287" t="s">
        <v>1056</v>
      </c>
      <c r="E592" s="287" t="s">
        <v>1057</v>
      </c>
      <c r="F592" s="287"/>
    </row>
    <row r="593" spans="1:14" x14ac:dyDescent="0.25">
      <c r="A593" s="387" t="s">
        <v>1095</v>
      </c>
      <c r="B593" s="394">
        <f>AVERAGE(6.74,7.7)</f>
        <v>7.2200000000000006</v>
      </c>
      <c r="C593" s="395" t="s">
        <v>1040</v>
      </c>
      <c r="D593" s="287" t="s">
        <v>1059</v>
      </c>
      <c r="E593" s="287"/>
      <c r="F593" s="287"/>
    </row>
    <row r="594" spans="1:14" x14ac:dyDescent="0.25">
      <c r="A594" s="387" t="s">
        <v>1096</v>
      </c>
      <c r="B594" s="394">
        <v>7.55</v>
      </c>
      <c r="C594" s="395" t="s">
        <v>1040</v>
      </c>
      <c r="D594" s="397" t="s">
        <v>1069</v>
      </c>
      <c r="E594" s="287"/>
      <c r="F594" s="287"/>
    </row>
    <row r="595" spans="1:14" x14ac:dyDescent="0.25">
      <c r="A595" s="387" t="s">
        <v>1097</v>
      </c>
      <c r="B595" s="394">
        <v>5.9</v>
      </c>
      <c r="C595" s="395" t="s">
        <v>1040</v>
      </c>
      <c r="D595" s="287" t="s">
        <v>1063</v>
      </c>
      <c r="E595" s="287"/>
      <c r="F595" s="287"/>
      <c r="H595" s="71"/>
      <c r="I595" s="71"/>
      <c r="J595" s="71"/>
      <c r="K595" s="71"/>
      <c r="L595" s="71"/>
      <c r="M595" s="71"/>
      <c r="N595" s="71"/>
    </row>
    <row r="596" spans="1:14" x14ac:dyDescent="0.25">
      <c r="A596" s="387" t="s">
        <v>1098</v>
      </c>
      <c r="B596" s="394">
        <v>11.8</v>
      </c>
      <c r="C596" s="395" t="s">
        <v>1040</v>
      </c>
      <c r="D596" s="287" t="s">
        <v>1071</v>
      </c>
      <c r="E596" s="287"/>
      <c r="F596" s="287"/>
    </row>
    <row r="597" spans="1:14" ht="15.75" thickBot="1" x14ac:dyDescent="0.3">
      <c r="A597" s="389" t="s">
        <v>1099</v>
      </c>
      <c r="B597" s="402">
        <v>7.3</v>
      </c>
      <c r="C597" s="403" t="s">
        <v>1040</v>
      </c>
      <c r="D597" s="287" t="s">
        <v>1071</v>
      </c>
      <c r="E597" s="287"/>
      <c r="F597" s="287"/>
    </row>
    <row r="598" spans="1:14" ht="15.75" thickBot="1" x14ac:dyDescent="0.3">
      <c r="A598" s="401"/>
      <c r="B598" s="394"/>
      <c r="C598" s="401"/>
      <c r="D598" s="287"/>
      <c r="E598" s="287"/>
      <c r="F598" s="287"/>
    </row>
    <row r="599" spans="1:14" x14ac:dyDescent="0.25">
      <c r="A599" s="391" t="s">
        <v>1100</v>
      </c>
      <c r="B599" s="405">
        <v>14.4</v>
      </c>
      <c r="C599" s="393" t="s">
        <v>1040</v>
      </c>
      <c r="D599" s="287" t="s">
        <v>1049</v>
      </c>
      <c r="E599" s="287"/>
      <c r="F599" s="287"/>
      <c r="G599" s="71"/>
      <c r="H599" s="71"/>
      <c r="I599" s="71"/>
      <c r="J599" s="71"/>
      <c r="K599" s="71"/>
      <c r="L599" s="71"/>
      <c r="M599" s="71"/>
      <c r="N599" s="71"/>
    </row>
    <row r="600" spans="1:14" x14ac:dyDescent="0.25">
      <c r="A600" s="387" t="s">
        <v>1101</v>
      </c>
      <c r="B600" s="394">
        <v>15.9</v>
      </c>
      <c r="C600" s="395" t="s">
        <v>1040</v>
      </c>
      <c r="D600" s="287" t="s">
        <v>1051</v>
      </c>
      <c r="E600" s="287"/>
      <c r="F600" s="287"/>
      <c r="L600" s="71"/>
      <c r="M600" s="71"/>
      <c r="N600" s="71"/>
    </row>
    <row r="601" spans="1:14" ht="15.75" thickBot="1" x14ac:dyDescent="0.3">
      <c r="A601" s="389" t="s">
        <v>1102</v>
      </c>
      <c r="B601" s="402">
        <v>15.9</v>
      </c>
      <c r="C601" s="403" t="s">
        <v>1040</v>
      </c>
      <c r="D601" s="287" t="s">
        <v>1103</v>
      </c>
      <c r="E601" s="287"/>
      <c r="F601" s="287"/>
      <c r="L601" s="71"/>
      <c r="M601" s="71"/>
      <c r="N601" s="71"/>
    </row>
    <row r="602" spans="1:14" ht="15.75" thickBot="1" x14ac:dyDescent="0.3">
      <c r="A602" s="287"/>
      <c r="B602" s="404"/>
      <c r="C602" s="287"/>
      <c r="D602" s="287"/>
      <c r="E602" s="287"/>
      <c r="F602" s="287"/>
      <c r="L602" s="71"/>
      <c r="M602" s="71"/>
      <c r="N602" s="71"/>
    </row>
    <row r="603" spans="1:14" x14ac:dyDescent="0.25">
      <c r="A603" s="391" t="s">
        <v>1104</v>
      </c>
      <c r="B603" s="405">
        <v>5.6</v>
      </c>
      <c r="C603" s="393" t="s">
        <v>1040</v>
      </c>
      <c r="D603" s="287" t="s">
        <v>1090</v>
      </c>
      <c r="E603" s="287"/>
      <c r="F603" s="287"/>
      <c r="L603" s="71"/>
      <c r="M603" s="71"/>
      <c r="N603" s="71"/>
    </row>
    <row r="604" spans="1:14" x14ac:dyDescent="0.25">
      <c r="A604" s="387" t="s">
        <v>1105</v>
      </c>
      <c r="B604" s="394" t="s">
        <v>1106</v>
      </c>
      <c r="C604" s="395" t="s">
        <v>1040</v>
      </c>
      <c r="D604" s="287" t="s">
        <v>1043</v>
      </c>
      <c r="E604" s="287"/>
      <c r="F604" s="287"/>
      <c r="L604" s="71"/>
      <c r="M604" s="71"/>
      <c r="N604" s="71"/>
    </row>
    <row r="605" spans="1:14" x14ac:dyDescent="0.25">
      <c r="A605" s="387" t="s">
        <v>1107</v>
      </c>
      <c r="B605" s="396">
        <v>17</v>
      </c>
      <c r="C605" s="395" t="s">
        <v>1040</v>
      </c>
      <c r="D605" s="287" t="s">
        <v>1071</v>
      </c>
      <c r="E605" s="287"/>
      <c r="F605" s="287"/>
    </row>
    <row r="606" spans="1:14" x14ac:dyDescent="0.25">
      <c r="A606" s="387" t="s">
        <v>1108</v>
      </c>
      <c r="B606" s="396">
        <v>18.2</v>
      </c>
      <c r="C606" s="395" t="s">
        <v>1040</v>
      </c>
      <c r="D606" s="287" t="s">
        <v>1071</v>
      </c>
      <c r="E606" s="287"/>
      <c r="F606" s="287"/>
    </row>
    <row r="607" spans="1:14" x14ac:dyDescent="0.25">
      <c r="A607" s="387" t="s">
        <v>1109</v>
      </c>
      <c r="B607" s="396">
        <v>6.5</v>
      </c>
      <c r="C607" s="395" t="s">
        <v>1040</v>
      </c>
      <c r="D607" s="287" t="s">
        <v>1071</v>
      </c>
      <c r="E607" s="287"/>
      <c r="F607" s="287"/>
    </row>
    <row r="608" spans="1:14" ht="15.75" thickBot="1" x14ac:dyDescent="0.3">
      <c r="A608" s="389" t="s">
        <v>1110</v>
      </c>
      <c r="B608" s="399">
        <v>3.9</v>
      </c>
      <c r="C608" s="403" t="s">
        <v>1040</v>
      </c>
      <c r="D608" s="287" t="s">
        <v>1071</v>
      </c>
      <c r="E608" s="287"/>
      <c r="F608" s="287"/>
    </row>
    <row r="609" spans="1:14" ht="15.75" thickBot="1" x14ac:dyDescent="0.3">
      <c r="A609" s="401"/>
      <c r="B609" s="396"/>
      <c r="C609" s="401"/>
      <c r="D609" s="287"/>
      <c r="E609" s="287"/>
      <c r="F609" s="287"/>
    </row>
    <row r="610" spans="1:14" x14ac:dyDescent="0.25">
      <c r="A610" s="385" t="s">
        <v>1111</v>
      </c>
      <c r="B610" s="386">
        <f>B613</f>
        <v>7.0766666666666671</v>
      </c>
      <c r="C610" s="287"/>
      <c r="D610" s="287"/>
      <c r="E610" s="287"/>
      <c r="F610" s="287"/>
    </row>
    <row r="611" spans="1:14" x14ac:dyDescent="0.25">
      <c r="A611" s="387" t="s">
        <v>295</v>
      </c>
      <c r="B611" s="388">
        <f>COUNT(B615:B620)</f>
        <v>6</v>
      </c>
      <c r="C611" s="287"/>
      <c r="D611" s="287"/>
      <c r="E611" s="287"/>
      <c r="F611" s="287"/>
    </row>
    <row r="612" spans="1:14" x14ac:dyDescent="0.25">
      <c r="A612" s="387" t="s">
        <v>281</v>
      </c>
      <c r="B612" s="388">
        <f>STDEV(B615:B620)</f>
        <v>1.3021008665486189</v>
      </c>
      <c r="C612" s="287"/>
      <c r="D612" s="287"/>
      <c r="E612" s="287"/>
      <c r="F612" s="287"/>
    </row>
    <row r="613" spans="1:14" x14ac:dyDescent="0.25">
      <c r="A613" s="387" t="s">
        <v>279</v>
      </c>
      <c r="B613" s="388">
        <f>AVERAGE(B615:B620)</f>
        <v>7.0766666666666671</v>
      </c>
      <c r="C613" s="287"/>
      <c r="D613" s="287"/>
      <c r="E613" s="287"/>
      <c r="F613" s="287"/>
    </row>
    <row r="614" spans="1:14" ht="15.75" thickBot="1" x14ac:dyDescent="0.3">
      <c r="A614" s="389" t="s">
        <v>283</v>
      </c>
      <c r="B614" s="390">
        <f>CONFIDENCE(0.05,B612,B611)</f>
        <v>1.0418785423342718</v>
      </c>
      <c r="C614" s="287"/>
      <c r="D614" s="287"/>
      <c r="E614" s="287"/>
      <c r="F614" s="287"/>
    </row>
    <row r="615" spans="1:14" x14ac:dyDescent="0.25">
      <c r="A615" s="391" t="s">
        <v>1112</v>
      </c>
      <c r="B615" s="405">
        <v>7.4</v>
      </c>
      <c r="C615" s="393" t="s">
        <v>1040</v>
      </c>
      <c r="D615" s="287" t="s">
        <v>1041</v>
      </c>
      <c r="E615" s="287"/>
      <c r="F615" s="287"/>
    </row>
    <row r="616" spans="1:14" x14ac:dyDescent="0.25">
      <c r="A616" s="387" t="s">
        <v>1113</v>
      </c>
      <c r="B616" s="394">
        <f>AVERAGE(4.7,7.5)</f>
        <v>6.1</v>
      </c>
      <c r="C616" s="395" t="s">
        <v>1040</v>
      </c>
      <c r="D616" s="287" t="s">
        <v>1043</v>
      </c>
      <c r="E616" s="287"/>
      <c r="F616" s="287"/>
      <c r="L616" s="71"/>
      <c r="M616" s="71"/>
      <c r="N616" s="71"/>
    </row>
    <row r="617" spans="1:14" x14ac:dyDescent="0.25">
      <c r="A617" s="387" t="s">
        <v>1114</v>
      </c>
      <c r="B617" s="394">
        <v>8.01</v>
      </c>
      <c r="C617" s="395" t="s">
        <v>1040</v>
      </c>
      <c r="D617" s="287" t="s">
        <v>1045</v>
      </c>
      <c r="E617" s="287"/>
      <c r="F617" s="287"/>
    </row>
    <row r="618" spans="1:14" x14ac:dyDescent="0.25">
      <c r="A618" s="387" t="s">
        <v>1115</v>
      </c>
      <c r="B618" s="394">
        <f>AVERAGE(4.8,9.5)</f>
        <v>7.15</v>
      </c>
      <c r="C618" s="395" t="s">
        <v>1040</v>
      </c>
      <c r="D618" s="287" t="s">
        <v>1047</v>
      </c>
      <c r="E618" s="287"/>
      <c r="F618" s="287"/>
    </row>
    <row r="619" spans="1:14" x14ac:dyDescent="0.25">
      <c r="A619" s="387" t="s">
        <v>1116</v>
      </c>
      <c r="B619" s="394">
        <v>8.6999999999999993</v>
      </c>
      <c r="C619" s="395" t="s">
        <v>1040</v>
      </c>
      <c r="D619" s="287" t="s">
        <v>1049</v>
      </c>
      <c r="E619" s="287"/>
      <c r="F619" s="287"/>
      <c r="L619" s="49"/>
      <c r="M619" s="49"/>
      <c r="N619" s="49"/>
    </row>
    <row r="620" spans="1:14" ht="15.75" thickBot="1" x14ac:dyDescent="0.3">
      <c r="A620" s="389" t="s">
        <v>1117</v>
      </c>
      <c r="B620" s="402">
        <v>5.0999999999999996</v>
      </c>
      <c r="C620" s="403" t="s">
        <v>1040</v>
      </c>
      <c r="D620" s="287" t="s">
        <v>1051</v>
      </c>
      <c r="E620" s="287"/>
      <c r="F620" s="287"/>
      <c r="L620" s="49"/>
      <c r="M620" s="49"/>
      <c r="N620" s="49"/>
    </row>
    <row r="621" spans="1:14" ht="15.75" thickBot="1" x14ac:dyDescent="0.3">
      <c r="A621" s="287"/>
      <c r="B621" s="406"/>
      <c r="C621" s="287"/>
      <c r="D621" s="287"/>
      <c r="E621" s="287"/>
      <c r="F621" s="287"/>
      <c r="L621" s="49"/>
      <c r="M621" s="49"/>
      <c r="N621" s="49"/>
    </row>
    <row r="622" spans="1:14" x14ac:dyDescent="0.25">
      <c r="A622" s="385" t="s">
        <v>1118</v>
      </c>
      <c r="B622" s="386">
        <f>B625</f>
        <v>6.6859999999999999</v>
      </c>
      <c r="C622" s="287"/>
      <c r="D622" s="287"/>
      <c r="E622" s="287"/>
      <c r="F622" s="287"/>
      <c r="L622" s="49"/>
      <c r="M622" s="49"/>
      <c r="N622" s="49"/>
    </row>
    <row r="623" spans="1:14" x14ac:dyDescent="0.25">
      <c r="A623" s="387" t="s">
        <v>295</v>
      </c>
      <c r="B623" s="407">
        <f>COUNT(B627:B631)</f>
        <v>5</v>
      </c>
      <c r="C623" s="287"/>
      <c r="D623" s="287"/>
      <c r="E623" s="287"/>
      <c r="F623" s="287"/>
    </row>
    <row r="624" spans="1:14" x14ac:dyDescent="0.25">
      <c r="A624" s="387" t="s">
        <v>281</v>
      </c>
      <c r="B624" s="407">
        <f>STDEV(B627:B631)</f>
        <v>2.3644195905126466</v>
      </c>
      <c r="C624" s="287"/>
      <c r="D624" s="287"/>
      <c r="E624" s="287"/>
      <c r="F624" s="287"/>
      <c r="L624" s="71"/>
      <c r="M624" s="71"/>
      <c r="N624" s="71"/>
    </row>
    <row r="625" spans="1:14" x14ac:dyDescent="0.25">
      <c r="A625" s="387" t="s">
        <v>279</v>
      </c>
      <c r="B625" s="408">
        <f>AVERAGE(B627:B631)</f>
        <v>6.6859999999999999</v>
      </c>
      <c r="C625" s="287"/>
      <c r="D625" s="287"/>
      <c r="E625" s="287"/>
      <c r="F625" s="287"/>
    </row>
    <row r="626" spans="1:14" ht="15.75" thickBot="1" x14ac:dyDescent="0.3">
      <c r="A626" s="389" t="s">
        <v>283</v>
      </c>
      <c r="B626" s="409">
        <f>CONFIDENCE(0.05,B624,B623)</f>
        <v>2.072467066465185</v>
      </c>
      <c r="C626" s="287"/>
      <c r="D626" s="287"/>
      <c r="E626" s="287"/>
      <c r="F626" s="287"/>
    </row>
    <row r="627" spans="1:14" x14ac:dyDescent="0.25">
      <c r="A627" s="391" t="s">
        <v>1119</v>
      </c>
      <c r="B627" s="405">
        <f>(6.1+6.5)/2</f>
        <v>6.3</v>
      </c>
      <c r="C627" s="393" t="s">
        <v>1040</v>
      </c>
      <c r="D627" s="287" t="s">
        <v>1051</v>
      </c>
      <c r="E627" s="287"/>
      <c r="F627" s="287"/>
      <c r="L627" s="71"/>
      <c r="M627" s="71"/>
      <c r="N627" s="71"/>
    </row>
    <row r="628" spans="1:14" x14ac:dyDescent="0.25">
      <c r="A628" s="387" t="s">
        <v>1120</v>
      </c>
      <c r="B628" s="396">
        <v>7.3</v>
      </c>
      <c r="C628" s="395" t="s">
        <v>1040</v>
      </c>
      <c r="D628" s="287" t="s">
        <v>1049</v>
      </c>
      <c r="E628" s="287"/>
      <c r="F628" s="287"/>
      <c r="L628" s="71"/>
      <c r="M628" s="71"/>
      <c r="N628" s="71"/>
    </row>
    <row r="629" spans="1:14" x14ac:dyDescent="0.25">
      <c r="A629" s="387" t="s">
        <v>1121</v>
      </c>
      <c r="B629" s="396">
        <v>5.6</v>
      </c>
      <c r="C629" s="395" t="s">
        <v>1040</v>
      </c>
      <c r="D629" s="287" t="s">
        <v>1090</v>
      </c>
      <c r="E629" s="287"/>
      <c r="F629" s="287"/>
      <c r="L629" s="71"/>
      <c r="M629" s="71"/>
      <c r="N629" s="71"/>
    </row>
    <row r="630" spans="1:14" x14ac:dyDescent="0.25">
      <c r="A630" s="387" t="s">
        <v>1122</v>
      </c>
      <c r="B630" s="396">
        <v>10.3</v>
      </c>
      <c r="C630" s="395" t="s">
        <v>1040</v>
      </c>
      <c r="D630" s="287" t="s">
        <v>1059</v>
      </c>
      <c r="E630" s="287"/>
      <c r="F630" s="287"/>
      <c r="L630" s="71"/>
      <c r="M630" s="71"/>
      <c r="N630" s="71"/>
    </row>
    <row r="631" spans="1:14" ht="15.75" thickBot="1" x14ac:dyDescent="0.3">
      <c r="A631" s="389" t="s">
        <v>1123</v>
      </c>
      <c r="B631" s="399">
        <v>3.93</v>
      </c>
      <c r="C631" s="403" t="s">
        <v>1040</v>
      </c>
      <c r="D631" s="287" t="s">
        <v>1063</v>
      </c>
      <c r="E631" s="287"/>
      <c r="F631" s="287"/>
    </row>
    <row r="632" spans="1:14" ht="15.75" thickBot="1" x14ac:dyDescent="0.3">
      <c r="A632" s="287"/>
      <c r="B632" s="384"/>
      <c r="C632" s="287"/>
      <c r="D632" s="287"/>
      <c r="E632" s="287"/>
      <c r="F632" s="287"/>
      <c r="L632" s="71"/>
      <c r="M632" s="71"/>
      <c r="N632" s="71"/>
    </row>
    <row r="633" spans="1:14" x14ac:dyDescent="0.25">
      <c r="A633" s="385" t="s">
        <v>1124</v>
      </c>
      <c r="B633" s="386">
        <f>B636</f>
        <v>1.6598285714285714</v>
      </c>
      <c r="C633" s="287"/>
      <c r="D633" s="287"/>
      <c r="E633" s="287"/>
      <c r="F633" s="287"/>
    </row>
    <row r="634" spans="1:14" x14ac:dyDescent="0.25">
      <c r="A634" s="387" t="s">
        <v>295</v>
      </c>
      <c r="B634" s="388">
        <f>COUNT(B638:B644)</f>
        <v>7</v>
      </c>
      <c r="C634" s="287"/>
      <c r="D634" s="287"/>
      <c r="E634" s="287"/>
      <c r="F634" s="287"/>
      <c r="L634" s="71"/>
      <c r="M634" s="71"/>
      <c r="N634" s="71"/>
    </row>
    <row r="635" spans="1:14" x14ac:dyDescent="0.25">
      <c r="A635" s="387" t="s">
        <v>281</v>
      </c>
      <c r="B635" s="388">
        <f>STDEV(B638:B644)</f>
        <v>0.78251402908464562</v>
      </c>
      <c r="C635" s="287"/>
      <c r="D635" s="287"/>
      <c r="E635" s="287"/>
      <c r="F635" s="287"/>
    </row>
    <row r="636" spans="1:14" x14ac:dyDescent="0.25">
      <c r="A636" s="387" t="s">
        <v>279</v>
      </c>
      <c r="B636" s="388">
        <f>AVERAGE(B638:B644)</f>
        <v>1.6598285714285714</v>
      </c>
      <c r="C636" s="287"/>
      <c r="D636" s="287"/>
      <c r="E636" s="287"/>
      <c r="F636" s="287"/>
      <c r="L636" s="71"/>
      <c r="M636" s="71"/>
      <c r="N636" s="71"/>
    </row>
    <row r="637" spans="1:14" ht="15.75" thickBot="1" x14ac:dyDescent="0.3">
      <c r="A637" s="387" t="s">
        <v>283</v>
      </c>
      <c r="B637" s="407">
        <f>CONFIDENCE(0.05,B635,B634)</f>
        <v>0.57968385312303117</v>
      </c>
      <c r="C637" s="287"/>
      <c r="D637" s="287"/>
      <c r="E637" s="287"/>
      <c r="F637" s="287"/>
    </row>
    <row r="638" spans="1:14" x14ac:dyDescent="0.25">
      <c r="A638" s="391" t="s">
        <v>1125</v>
      </c>
      <c r="B638" s="392">
        <v>3.0888</v>
      </c>
      <c r="C638" s="393" t="s">
        <v>1040</v>
      </c>
      <c r="D638" s="287" t="s">
        <v>1049</v>
      </c>
      <c r="E638" s="287"/>
      <c r="F638" s="287"/>
    </row>
    <row r="639" spans="1:14" x14ac:dyDescent="0.25">
      <c r="A639" s="387" t="s">
        <v>1126</v>
      </c>
      <c r="B639" s="396">
        <v>1.2</v>
      </c>
      <c r="C639" s="395" t="s">
        <v>1040</v>
      </c>
      <c r="D639" s="287" t="s">
        <v>89</v>
      </c>
      <c r="E639" s="287"/>
      <c r="F639" s="287"/>
    </row>
    <row r="640" spans="1:14" x14ac:dyDescent="0.25">
      <c r="A640" s="387" t="s">
        <v>1127</v>
      </c>
      <c r="B640" s="396">
        <v>0.9</v>
      </c>
      <c r="C640" s="395" t="s">
        <v>1040</v>
      </c>
      <c r="D640" s="287" t="s">
        <v>1051</v>
      </c>
      <c r="E640" s="287"/>
      <c r="F640" s="287"/>
      <c r="L640" s="71"/>
      <c r="M640" s="71"/>
      <c r="N640" s="71"/>
    </row>
    <row r="641" spans="1:14" x14ac:dyDescent="0.25">
      <c r="A641" s="387" t="s">
        <v>1128</v>
      </c>
      <c r="B641" s="396">
        <v>1.9</v>
      </c>
      <c r="C641" s="395" t="s">
        <v>1040</v>
      </c>
      <c r="D641" s="287" t="s">
        <v>1053</v>
      </c>
      <c r="E641" s="287"/>
      <c r="F641" s="287"/>
    </row>
    <row r="642" spans="1:14" x14ac:dyDescent="0.25">
      <c r="A642" s="387" t="s">
        <v>1129</v>
      </c>
      <c r="B642" s="396">
        <v>1.1200000000000001</v>
      </c>
      <c r="C642" s="395" t="s">
        <v>1040</v>
      </c>
      <c r="D642" s="287" t="s">
        <v>1059</v>
      </c>
      <c r="E642" s="287"/>
      <c r="F642" s="287"/>
      <c r="L642" s="71"/>
      <c r="M642" s="71"/>
      <c r="N642" s="71"/>
    </row>
    <row r="643" spans="1:14" x14ac:dyDescent="0.25">
      <c r="A643" s="387" t="s">
        <v>1130</v>
      </c>
      <c r="B643" s="396">
        <v>1.21</v>
      </c>
      <c r="C643" s="395" t="s">
        <v>1040</v>
      </c>
      <c r="D643" s="287" t="s">
        <v>1063</v>
      </c>
      <c r="E643" s="287"/>
      <c r="F643" s="287"/>
      <c r="L643" s="71"/>
      <c r="M643" s="71"/>
      <c r="N643" s="71"/>
    </row>
    <row r="644" spans="1:14" ht="15.75" thickBot="1" x14ac:dyDescent="0.3">
      <c r="A644" s="389" t="s">
        <v>1131</v>
      </c>
      <c r="B644" s="399">
        <v>2.2000000000000002</v>
      </c>
      <c r="C644" s="403" t="s">
        <v>1040</v>
      </c>
      <c r="D644" s="287" t="s">
        <v>1132</v>
      </c>
      <c r="E644" s="287"/>
      <c r="F644" s="287"/>
      <c r="L644" s="71"/>
      <c r="M644" s="71"/>
      <c r="N644" s="71"/>
    </row>
    <row r="645" spans="1:14" ht="15.75" thickBot="1" x14ac:dyDescent="0.3">
      <c r="A645" s="401"/>
      <c r="B645" s="396"/>
      <c r="C645" s="401"/>
      <c r="D645" s="287"/>
      <c r="E645" s="287"/>
      <c r="F645" s="287"/>
      <c r="L645" s="71"/>
      <c r="M645" s="71"/>
      <c r="N645" s="71"/>
    </row>
    <row r="646" spans="1:14" x14ac:dyDescent="0.25">
      <c r="A646" s="410" t="s">
        <v>1133</v>
      </c>
      <c r="B646" s="386">
        <f>B649</f>
        <v>4.6528</v>
      </c>
      <c r="C646" s="401"/>
      <c r="D646" s="287"/>
      <c r="E646" s="287"/>
      <c r="F646" s="287"/>
    </row>
    <row r="647" spans="1:14" x14ac:dyDescent="0.25">
      <c r="A647" s="387" t="s">
        <v>295</v>
      </c>
      <c r="B647" s="388">
        <f>COUNT(B651:B656)</f>
        <v>6</v>
      </c>
      <c r="C647" s="401"/>
      <c r="D647" s="287"/>
      <c r="E647" s="287"/>
      <c r="F647" s="287"/>
    </row>
    <row r="648" spans="1:14" x14ac:dyDescent="0.25">
      <c r="A648" s="387" t="s">
        <v>281</v>
      </c>
      <c r="B648" s="388">
        <f>STDEV(B651:B656)</f>
        <v>3.1000595607181478</v>
      </c>
      <c r="C648" s="401"/>
      <c r="D648" s="287"/>
      <c r="E648" s="287"/>
      <c r="F648" s="287"/>
      <c r="L648" s="71"/>
      <c r="M648" s="71"/>
      <c r="N648" s="71"/>
    </row>
    <row r="649" spans="1:14" x14ac:dyDescent="0.25">
      <c r="A649" s="387" t="s">
        <v>279</v>
      </c>
      <c r="B649" s="388">
        <f>AVERAGE(B651:B656)</f>
        <v>4.6528</v>
      </c>
      <c r="C649" s="401"/>
      <c r="D649" s="287"/>
      <c r="E649" s="287"/>
      <c r="F649" s="287"/>
      <c r="L649" s="71"/>
      <c r="M649" s="71"/>
      <c r="N649" s="71"/>
    </row>
    <row r="650" spans="1:14" ht="15.75" thickBot="1" x14ac:dyDescent="0.3">
      <c r="A650" s="389" t="s">
        <v>283</v>
      </c>
      <c r="B650" s="390">
        <f>CONFIDENCE(0.05,B648,B647)</f>
        <v>2.4805186904081111</v>
      </c>
      <c r="C650" s="401"/>
      <c r="D650" s="287"/>
      <c r="E650" s="287"/>
      <c r="F650" s="287"/>
      <c r="L650" s="71"/>
      <c r="M650" s="71"/>
      <c r="N650" s="71"/>
    </row>
    <row r="651" spans="1:14" x14ac:dyDescent="0.25">
      <c r="A651" s="391" t="s">
        <v>1134</v>
      </c>
      <c r="B651" s="392">
        <v>2.8079999999999998</v>
      </c>
      <c r="C651" s="393" t="s">
        <v>1040</v>
      </c>
      <c r="D651" s="287" t="s">
        <v>1049</v>
      </c>
      <c r="E651" s="287"/>
      <c r="F651" s="287"/>
    </row>
    <row r="652" spans="1:14" x14ac:dyDescent="0.25">
      <c r="A652" s="387" t="s">
        <v>1135</v>
      </c>
      <c r="B652" s="396">
        <v>9.8000000000000007</v>
      </c>
      <c r="C652" s="395" t="s">
        <v>1040</v>
      </c>
      <c r="D652" s="287" t="s">
        <v>89</v>
      </c>
      <c r="E652" s="287"/>
      <c r="F652" s="287"/>
    </row>
    <row r="653" spans="1:14" x14ac:dyDescent="0.25">
      <c r="A653" s="387" t="s">
        <v>1136</v>
      </c>
      <c r="B653" s="396">
        <v>1.58</v>
      </c>
      <c r="C653" s="395" t="s">
        <v>1040</v>
      </c>
      <c r="D653" s="287" t="s">
        <v>1056</v>
      </c>
      <c r="E653" s="287" t="s">
        <v>1057</v>
      </c>
      <c r="F653" s="287"/>
    </row>
    <row r="654" spans="1:14" x14ac:dyDescent="0.25">
      <c r="A654" s="387" t="s">
        <v>1137</v>
      </c>
      <c r="B654" s="396">
        <v>5.428799999999999</v>
      </c>
      <c r="C654" s="395" t="s">
        <v>1040</v>
      </c>
      <c r="D654" s="287" t="s">
        <v>1138</v>
      </c>
      <c r="E654" s="287"/>
      <c r="F654" s="287"/>
    </row>
    <row r="655" spans="1:14" x14ac:dyDescent="0.25">
      <c r="A655" s="387" t="s">
        <v>1139</v>
      </c>
      <c r="B655" s="396">
        <v>6.1</v>
      </c>
      <c r="C655" s="395" t="s">
        <v>1040</v>
      </c>
      <c r="D655" s="287" t="s">
        <v>1090</v>
      </c>
      <c r="E655" s="287"/>
      <c r="F655" s="287"/>
    </row>
    <row r="656" spans="1:14" ht="15.75" thickBot="1" x14ac:dyDescent="0.3">
      <c r="A656" s="389" t="s">
        <v>1140</v>
      </c>
      <c r="B656" s="399">
        <v>2.2000000000000002</v>
      </c>
      <c r="C656" s="403" t="s">
        <v>1040</v>
      </c>
      <c r="D656" s="287" t="s">
        <v>1132</v>
      </c>
      <c r="E656" s="287"/>
      <c r="F656" s="287"/>
    </row>
    <row r="657" spans="1:12" x14ac:dyDescent="0.25">
      <c r="A657" s="287"/>
      <c r="B657" s="384"/>
      <c r="C657" s="287"/>
      <c r="D657" s="287"/>
      <c r="E657" s="287"/>
      <c r="F657" s="287"/>
    </row>
    <row r="658" spans="1:12" x14ac:dyDescent="0.25">
      <c r="A658" s="248" t="s">
        <v>1141</v>
      </c>
      <c r="B658" s="411">
        <f>10.1*0.7896</f>
        <v>7.9749599999999994</v>
      </c>
      <c r="C658" s="248" t="s">
        <v>1040</v>
      </c>
      <c r="D658" s="287" t="s">
        <v>318</v>
      </c>
      <c r="E658" s="287"/>
      <c r="F658" s="287"/>
    </row>
    <row r="659" spans="1:12" x14ac:dyDescent="0.25">
      <c r="A659" s="248" t="s">
        <v>1142</v>
      </c>
      <c r="B659" s="384">
        <v>5.4</v>
      </c>
      <c r="C659" s="248" t="s">
        <v>1040</v>
      </c>
      <c r="D659" s="287" t="s">
        <v>1049</v>
      </c>
      <c r="E659" s="287"/>
      <c r="F659" s="287"/>
    </row>
    <row r="660" spans="1:12" ht="15.75" thickBot="1" x14ac:dyDescent="0.3">
      <c r="A660" s="287"/>
      <c r="B660" s="384"/>
      <c r="C660" s="287"/>
      <c r="D660" s="287"/>
      <c r="E660" s="287"/>
      <c r="F660" s="287"/>
    </row>
    <row r="661" spans="1:12" x14ac:dyDescent="0.25">
      <c r="A661" s="385" t="s">
        <v>1143</v>
      </c>
      <c r="B661" s="386">
        <f>B664</f>
        <v>4.6925000000000008</v>
      </c>
      <c r="C661" s="287"/>
      <c r="D661" s="287"/>
      <c r="E661" s="287"/>
      <c r="F661" s="287"/>
    </row>
    <row r="662" spans="1:12" x14ac:dyDescent="0.25">
      <c r="A662" s="387" t="s">
        <v>295</v>
      </c>
      <c r="B662" s="388">
        <f>COUNT(B666:B673)</f>
        <v>8</v>
      </c>
      <c r="C662" s="287"/>
      <c r="D662" s="287"/>
      <c r="E662" s="287"/>
      <c r="F662" s="287"/>
    </row>
    <row r="663" spans="1:12" x14ac:dyDescent="0.25">
      <c r="A663" s="387" t="s">
        <v>281</v>
      </c>
      <c r="B663" s="388">
        <f>STDEV(B666:B673)</f>
        <v>0.40372373864173156</v>
      </c>
      <c r="C663" s="287"/>
      <c r="D663" s="287"/>
      <c r="E663" s="287"/>
      <c r="F663" s="287"/>
    </row>
    <row r="664" spans="1:12" x14ac:dyDescent="0.25">
      <c r="A664" s="387" t="s">
        <v>279</v>
      </c>
      <c r="B664" s="388">
        <f>AVERAGE(B666:B673)</f>
        <v>4.6925000000000008</v>
      </c>
      <c r="C664" s="287"/>
      <c r="D664" s="287"/>
      <c r="E664" s="287"/>
      <c r="F664" s="287"/>
      <c r="I664" s="71"/>
      <c r="J664" s="71"/>
      <c r="K664" s="71"/>
      <c r="L664" s="71"/>
    </row>
    <row r="665" spans="1:12" ht="15.75" thickBot="1" x14ac:dyDescent="0.3">
      <c r="A665" s="389" t="s">
        <v>283</v>
      </c>
      <c r="B665" s="390">
        <f>CONFIDENCE(0.05,B663,B662)</f>
        <v>0.27976113668216268</v>
      </c>
      <c r="C665" s="287"/>
      <c r="D665" s="287"/>
      <c r="E665" s="287"/>
      <c r="F665" s="287"/>
      <c r="I665" s="71"/>
      <c r="J665" s="71"/>
      <c r="K665" s="71"/>
      <c r="L665" s="71"/>
    </row>
    <row r="666" spans="1:12" x14ac:dyDescent="0.25">
      <c r="A666" s="391" t="s">
        <v>1144</v>
      </c>
      <c r="B666" s="392">
        <f>AVERAGE(3.7, 5.1)</f>
        <v>4.4000000000000004</v>
      </c>
      <c r="C666" s="393" t="s">
        <v>1040</v>
      </c>
      <c r="D666" s="287" t="s">
        <v>1051</v>
      </c>
      <c r="E666" s="287"/>
      <c r="F666" s="287"/>
      <c r="I666" s="71"/>
      <c r="J666" s="71"/>
      <c r="K666" s="71"/>
      <c r="L666" s="71"/>
    </row>
    <row r="667" spans="1:12" x14ac:dyDescent="0.25">
      <c r="A667" s="387" t="s">
        <v>1145</v>
      </c>
      <c r="B667" s="396">
        <v>4.7</v>
      </c>
      <c r="C667" s="395" t="s">
        <v>1040</v>
      </c>
      <c r="D667" s="287" t="s">
        <v>1090</v>
      </c>
      <c r="E667" s="287"/>
      <c r="F667" s="287"/>
      <c r="I667" s="71"/>
      <c r="J667" s="71"/>
      <c r="K667" s="71"/>
      <c r="L667" s="71"/>
    </row>
    <row r="668" spans="1:12" x14ac:dyDescent="0.25">
      <c r="A668" s="387" t="s">
        <v>1146</v>
      </c>
      <c r="B668" s="396">
        <f>AVERAGE(3.7,5.6)</f>
        <v>4.6500000000000004</v>
      </c>
      <c r="C668" s="395" t="s">
        <v>1040</v>
      </c>
      <c r="D668" s="287" t="s">
        <v>1043</v>
      </c>
      <c r="E668" s="287"/>
      <c r="F668" s="287"/>
      <c r="I668" s="71"/>
      <c r="J668" s="71"/>
      <c r="K668" s="71"/>
      <c r="L668" s="71"/>
    </row>
    <row r="669" spans="1:12" x14ac:dyDescent="0.25">
      <c r="A669" s="387" t="s">
        <v>1147</v>
      </c>
      <c r="B669" s="396">
        <v>4.9000000000000004</v>
      </c>
      <c r="C669" s="395" t="s">
        <v>1040</v>
      </c>
      <c r="D669" s="287" t="s">
        <v>89</v>
      </c>
      <c r="E669" s="287"/>
      <c r="F669" s="287"/>
    </row>
    <row r="670" spans="1:12" x14ac:dyDescent="0.25">
      <c r="A670" s="387" t="s">
        <v>1148</v>
      </c>
      <c r="B670" s="396">
        <v>4.6399999999999997</v>
      </c>
      <c r="C670" s="395" t="s">
        <v>1040</v>
      </c>
      <c r="D670" s="287" t="s">
        <v>1056</v>
      </c>
      <c r="E670" s="287"/>
      <c r="F670" s="287"/>
    </row>
    <row r="671" spans="1:12" x14ac:dyDescent="0.25">
      <c r="A671" s="387" t="s">
        <v>1149</v>
      </c>
      <c r="B671" s="396">
        <v>4.8</v>
      </c>
      <c r="C671" s="395" t="s">
        <v>1040</v>
      </c>
      <c r="D671" s="287" t="s">
        <v>1049</v>
      </c>
      <c r="E671" s="287"/>
      <c r="F671" s="287"/>
    </row>
    <row r="672" spans="1:12" x14ac:dyDescent="0.25">
      <c r="A672" s="387" t="s">
        <v>1150</v>
      </c>
      <c r="B672" s="396">
        <v>5.43</v>
      </c>
      <c r="C672" s="395" t="s">
        <v>1040</v>
      </c>
      <c r="D672" s="287" t="s">
        <v>1059</v>
      </c>
      <c r="E672" s="287"/>
      <c r="F672" s="287"/>
    </row>
    <row r="673" spans="1:12" ht="15.75" thickBot="1" x14ac:dyDescent="0.3">
      <c r="A673" s="389" t="s">
        <v>1151</v>
      </c>
      <c r="B673" s="399">
        <v>4.0199999999999996</v>
      </c>
      <c r="C673" s="403" t="s">
        <v>1040</v>
      </c>
      <c r="D673" s="287" t="s">
        <v>1063</v>
      </c>
      <c r="E673" s="287"/>
      <c r="F673" s="287"/>
    </row>
    <row r="674" spans="1:12" ht="15.75" thickBot="1" x14ac:dyDescent="0.3">
      <c r="A674" s="401"/>
      <c r="B674" s="396"/>
      <c r="C674" s="401"/>
      <c r="D674" s="287"/>
      <c r="E674" s="287"/>
      <c r="F674" s="287"/>
      <c r="I674" s="71"/>
      <c r="J674" s="71"/>
      <c r="K674" s="71"/>
      <c r="L674" s="71"/>
    </row>
    <row r="675" spans="1:12" x14ac:dyDescent="0.25">
      <c r="A675" s="385" t="s">
        <v>1152</v>
      </c>
      <c r="B675" s="386">
        <f>B678</f>
        <v>3.714</v>
      </c>
      <c r="C675" s="287"/>
      <c r="D675" s="287"/>
      <c r="E675" s="287"/>
      <c r="F675" s="287"/>
      <c r="I675" s="71"/>
      <c r="J675" s="71"/>
      <c r="K675" s="71"/>
      <c r="L675" s="71"/>
    </row>
    <row r="676" spans="1:12" x14ac:dyDescent="0.25">
      <c r="A676" s="387" t="s">
        <v>295</v>
      </c>
      <c r="B676" s="388">
        <f>COUNT(B680:B684)</f>
        <v>5</v>
      </c>
      <c r="C676" s="287"/>
      <c r="D676" s="287"/>
      <c r="E676" s="287"/>
      <c r="F676" s="287"/>
    </row>
    <row r="677" spans="1:12" x14ac:dyDescent="0.25">
      <c r="A677" s="387" t="s">
        <v>281</v>
      </c>
      <c r="B677" s="388">
        <f>STDEV(B680:B684)</f>
        <v>0.89943315482586128</v>
      </c>
      <c r="C677" s="287"/>
      <c r="D677" s="287"/>
      <c r="E677" s="287"/>
      <c r="F677" s="287"/>
    </row>
    <row r="678" spans="1:12" x14ac:dyDescent="0.25">
      <c r="A678" s="387" t="s">
        <v>279</v>
      </c>
      <c r="B678" s="388">
        <f>AVERAGE(B680:B684)</f>
        <v>3.714</v>
      </c>
      <c r="C678" s="287"/>
      <c r="D678" s="287"/>
      <c r="E678" s="287"/>
      <c r="F678" s="287"/>
      <c r="I678" s="71"/>
      <c r="J678" s="71"/>
      <c r="K678" s="71"/>
      <c r="L678" s="71"/>
    </row>
    <row r="679" spans="1:12" ht="15.75" thickBot="1" x14ac:dyDescent="0.3">
      <c r="A679" s="389" t="s">
        <v>283</v>
      </c>
      <c r="B679" s="390">
        <f>CONFIDENCE(0.05,B677,B676)</f>
        <v>0.78837343394677351</v>
      </c>
      <c r="C679" s="287"/>
      <c r="D679" s="287"/>
      <c r="E679" s="287"/>
      <c r="F679" s="287"/>
      <c r="I679" s="71"/>
      <c r="J679" s="71"/>
      <c r="K679" s="71"/>
      <c r="L679" s="71"/>
    </row>
    <row r="680" spans="1:12" x14ac:dyDescent="0.25">
      <c r="A680" s="391" t="s">
        <v>1153</v>
      </c>
      <c r="B680" s="392">
        <v>2.8</v>
      </c>
      <c r="C680" s="393" t="s">
        <v>1040</v>
      </c>
      <c r="D680" s="287" t="s">
        <v>1051</v>
      </c>
      <c r="E680" s="287"/>
      <c r="F680" s="287"/>
      <c r="I680" s="71"/>
      <c r="J680" s="71"/>
      <c r="K680" s="71"/>
      <c r="L680" s="71"/>
    </row>
    <row r="681" spans="1:12" x14ac:dyDescent="0.25">
      <c r="A681" s="387" t="s">
        <v>1154</v>
      </c>
      <c r="B681" s="396">
        <v>3.3</v>
      </c>
      <c r="C681" s="395" t="s">
        <v>1040</v>
      </c>
      <c r="D681" s="287" t="s">
        <v>1090</v>
      </c>
      <c r="E681" s="287"/>
      <c r="F681" s="287"/>
      <c r="I681" s="71"/>
      <c r="J681" s="71"/>
      <c r="K681" s="71"/>
      <c r="L681" s="71"/>
    </row>
    <row r="682" spans="1:12" x14ac:dyDescent="0.25">
      <c r="A682" s="387" t="s">
        <v>1155</v>
      </c>
      <c r="B682" s="396">
        <v>3.7</v>
      </c>
      <c r="C682" s="395" t="s">
        <v>1040</v>
      </c>
      <c r="D682" s="287" t="s">
        <v>1043</v>
      </c>
      <c r="E682" s="287"/>
      <c r="F682" s="287"/>
      <c r="I682" s="71"/>
      <c r="J682" s="71"/>
      <c r="K682" s="71"/>
      <c r="L682" s="71"/>
    </row>
    <row r="683" spans="1:12" x14ac:dyDescent="0.25">
      <c r="A683" s="387" t="s">
        <v>1156</v>
      </c>
      <c r="B683" s="396">
        <v>5.2</v>
      </c>
      <c r="C683" s="395" t="s">
        <v>1040</v>
      </c>
      <c r="D683" s="287"/>
      <c r="E683" s="287"/>
      <c r="F683" s="287"/>
      <c r="I683" s="71"/>
      <c r="J683" s="71"/>
      <c r="K683" s="71"/>
      <c r="L683" s="71"/>
    </row>
    <row r="684" spans="1:12" ht="15.75" thickBot="1" x14ac:dyDescent="0.3">
      <c r="A684" s="389" t="s">
        <v>1157</v>
      </c>
      <c r="B684" s="399">
        <v>3.57</v>
      </c>
      <c r="C684" s="403" t="s">
        <v>1040</v>
      </c>
      <c r="D684" s="287" t="s">
        <v>1056</v>
      </c>
      <c r="E684" s="287" t="s">
        <v>1057</v>
      </c>
      <c r="F684" s="287"/>
    </row>
    <row r="685" spans="1:12" x14ac:dyDescent="0.25">
      <c r="A685" s="401"/>
      <c r="B685" s="396"/>
      <c r="C685" s="401"/>
      <c r="D685" s="287"/>
      <c r="E685" s="287"/>
      <c r="F685" s="287"/>
    </row>
    <row r="686" spans="1:12" ht="15.75" thickBot="1" x14ac:dyDescent="0.3">
      <c r="A686" s="287"/>
      <c r="B686" s="384"/>
      <c r="C686" s="287"/>
      <c r="D686" s="287"/>
      <c r="E686" s="287"/>
      <c r="F686" s="287"/>
    </row>
    <row r="687" spans="1:12" x14ac:dyDescent="0.25">
      <c r="A687" s="385" t="s">
        <v>1158</v>
      </c>
      <c r="B687" s="386">
        <f>B690</f>
        <v>6.9837499999999997</v>
      </c>
      <c r="C687" s="287"/>
      <c r="D687" s="287"/>
      <c r="E687" s="287"/>
      <c r="F687" s="287"/>
    </row>
    <row r="688" spans="1:12" x14ac:dyDescent="0.25">
      <c r="A688" s="387" t="s">
        <v>295</v>
      </c>
      <c r="B688" s="388">
        <f>COUNT(B692:B699)</f>
        <v>8</v>
      </c>
      <c r="C688" s="287"/>
      <c r="D688" s="287"/>
      <c r="E688" s="287"/>
      <c r="F688" s="287"/>
      <c r="I688" s="71"/>
      <c r="J688" s="71"/>
      <c r="K688" s="71"/>
      <c r="L688" s="71"/>
    </row>
    <row r="689" spans="1:12" x14ac:dyDescent="0.25">
      <c r="A689" s="387" t="s">
        <v>281</v>
      </c>
      <c r="B689" s="388">
        <f>STDEV(B692:B699)</f>
        <v>3.3509569528718228</v>
      </c>
      <c r="C689" s="287"/>
      <c r="D689" s="287"/>
      <c r="E689" s="287"/>
      <c r="F689" s="287"/>
    </row>
    <row r="690" spans="1:12" x14ac:dyDescent="0.25">
      <c r="A690" s="387" t="s">
        <v>279</v>
      </c>
      <c r="B690" s="388">
        <f>AVERAGE(B692:B699)</f>
        <v>6.9837499999999997</v>
      </c>
      <c r="C690" s="287"/>
      <c r="D690" s="287"/>
      <c r="E690" s="287"/>
      <c r="F690" s="287"/>
    </row>
    <row r="691" spans="1:12" ht="15.75" thickBot="1" x14ac:dyDescent="0.3">
      <c r="A691" s="389" t="s">
        <v>283</v>
      </c>
      <c r="B691" s="390">
        <f>CONFIDENCE(0.05,B689,B688)</f>
        <v>2.3220520281081005</v>
      </c>
      <c r="C691" s="287"/>
      <c r="D691" s="287"/>
      <c r="E691" s="287"/>
      <c r="F691" s="287"/>
      <c r="I691" s="71"/>
      <c r="J691" s="71"/>
      <c r="K691" s="71"/>
      <c r="L691" s="71"/>
    </row>
    <row r="692" spans="1:12" x14ac:dyDescent="0.25">
      <c r="A692" s="391" t="s">
        <v>1159</v>
      </c>
      <c r="B692" s="392">
        <v>4.2</v>
      </c>
      <c r="C692" s="393" t="s">
        <v>1040</v>
      </c>
      <c r="D692" s="287" t="s">
        <v>1051</v>
      </c>
      <c r="E692" s="287"/>
      <c r="F692" s="287"/>
      <c r="I692" s="71"/>
      <c r="J692" s="71"/>
      <c r="K692" s="71"/>
      <c r="L692" s="71"/>
    </row>
    <row r="693" spans="1:12" x14ac:dyDescent="0.25">
      <c r="A693" s="387" t="s">
        <v>1160</v>
      </c>
      <c r="B693" s="396">
        <v>3.3</v>
      </c>
      <c r="C693" s="395" t="s">
        <v>1040</v>
      </c>
      <c r="D693" s="287" t="s">
        <v>1090</v>
      </c>
      <c r="E693" s="287"/>
      <c r="F693" s="287"/>
      <c r="I693" s="71"/>
      <c r="J693" s="71"/>
      <c r="K693" s="71"/>
      <c r="L693" s="71"/>
    </row>
    <row r="694" spans="1:12" x14ac:dyDescent="0.25">
      <c r="A694" s="387" t="s">
        <v>1161</v>
      </c>
      <c r="B694" s="396">
        <f>AVERAGE(5.6,9.4)</f>
        <v>7.5</v>
      </c>
      <c r="C694" s="395" t="s">
        <v>1040</v>
      </c>
      <c r="D694" s="287" t="s">
        <v>1043</v>
      </c>
      <c r="E694" s="287"/>
      <c r="F694" s="287"/>
      <c r="I694" s="71"/>
      <c r="J694" s="71"/>
      <c r="K694" s="71"/>
      <c r="L694" s="71"/>
    </row>
    <row r="695" spans="1:12" x14ac:dyDescent="0.25">
      <c r="A695" s="387" t="s">
        <v>1162</v>
      </c>
      <c r="B695" s="396">
        <v>11.25</v>
      </c>
      <c r="C695" s="395" t="s">
        <v>1040</v>
      </c>
      <c r="D695" s="287" t="s">
        <v>1056</v>
      </c>
      <c r="E695" s="287"/>
      <c r="F695" s="287"/>
      <c r="I695" s="71"/>
      <c r="J695" s="71"/>
      <c r="K695" s="71"/>
      <c r="L695" s="71"/>
    </row>
    <row r="696" spans="1:12" x14ac:dyDescent="0.25">
      <c r="A696" s="387" t="s">
        <v>1163</v>
      </c>
      <c r="B696" s="396">
        <v>6.4</v>
      </c>
      <c r="C696" s="395" t="s">
        <v>1040</v>
      </c>
      <c r="D696" s="287" t="s">
        <v>1049</v>
      </c>
      <c r="E696" s="287"/>
      <c r="F696" s="287"/>
      <c r="I696" s="71"/>
      <c r="J696" s="71"/>
      <c r="K696" s="71"/>
      <c r="L696" s="71"/>
    </row>
    <row r="697" spans="1:12" x14ac:dyDescent="0.25">
      <c r="A697" s="387" t="s">
        <v>1164</v>
      </c>
      <c r="B697" s="396">
        <v>12.64</v>
      </c>
      <c r="C697" s="395" t="s">
        <v>1040</v>
      </c>
      <c r="D697" s="287" t="s">
        <v>1165</v>
      </c>
      <c r="E697" s="287"/>
      <c r="F697" s="287"/>
    </row>
    <row r="698" spans="1:12" x14ac:dyDescent="0.25">
      <c r="A698" s="387" t="s">
        <v>1166</v>
      </c>
      <c r="B698" s="396">
        <v>5.9</v>
      </c>
      <c r="C698" s="395" t="s">
        <v>1040</v>
      </c>
      <c r="D698" s="287" t="s">
        <v>1059</v>
      </c>
      <c r="E698" s="287"/>
      <c r="F698" s="287"/>
    </row>
    <row r="699" spans="1:12" ht="15.75" thickBot="1" x14ac:dyDescent="0.3">
      <c r="A699" s="389" t="s">
        <v>1167</v>
      </c>
      <c r="B699" s="399">
        <v>4.68</v>
      </c>
      <c r="C699" s="403" t="s">
        <v>1040</v>
      </c>
      <c r="D699" s="287" t="s">
        <v>1063</v>
      </c>
      <c r="E699" s="287"/>
      <c r="F699" s="287"/>
    </row>
    <row r="700" spans="1:12" ht="15.75" thickBot="1" x14ac:dyDescent="0.3">
      <c r="A700" s="287"/>
      <c r="B700" s="384"/>
      <c r="C700" s="287"/>
      <c r="D700" s="287"/>
      <c r="E700" s="287"/>
      <c r="F700" s="287"/>
    </row>
    <row r="701" spans="1:12" ht="15.75" thickBot="1" x14ac:dyDescent="0.3">
      <c r="A701" s="412" t="s">
        <v>1168</v>
      </c>
      <c r="B701" s="413">
        <v>8.5299999999999994</v>
      </c>
      <c r="C701" s="414" t="s">
        <v>1040</v>
      </c>
      <c r="D701" s="287" t="s">
        <v>1056</v>
      </c>
      <c r="E701" s="287"/>
      <c r="F701" s="287"/>
      <c r="I701" s="71"/>
      <c r="J701" s="71"/>
      <c r="K701" s="71"/>
      <c r="L701" s="71"/>
    </row>
    <row r="702" spans="1:12" x14ac:dyDescent="0.25">
      <c r="A702" s="287"/>
      <c r="B702" s="384"/>
      <c r="C702" s="287"/>
      <c r="D702" s="287"/>
      <c r="E702" s="287"/>
      <c r="F702" s="287"/>
    </row>
    <row r="703" spans="1:12" ht="15.75" thickBot="1" x14ac:dyDescent="0.3">
      <c r="A703" s="383" t="s">
        <v>131</v>
      </c>
      <c r="B703" s="384"/>
      <c r="C703" s="287"/>
      <c r="D703" s="287"/>
      <c r="E703" s="287"/>
      <c r="F703" s="287"/>
    </row>
    <row r="704" spans="1:12" x14ac:dyDescent="0.25">
      <c r="A704" s="385" t="s">
        <v>1169</v>
      </c>
      <c r="B704" s="386">
        <f>B707</f>
        <v>3.995714285714286</v>
      </c>
      <c r="C704" s="287"/>
      <c r="D704" s="287"/>
      <c r="E704" s="287"/>
      <c r="F704" s="287"/>
      <c r="I704" s="8"/>
      <c r="J704" s="8"/>
      <c r="K704" s="8"/>
      <c r="L704" s="8"/>
    </row>
    <row r="705" spans="1:12" x14ac:dyDescent="0.25">
      <c r="A705" s="387" t="s">
        <v>295</v>
      </c>
      <c r="B705" s="388">
        <f>COUNT(B709:B715)</f>
        <v>7</v>
      </c>
      <c r="C705" s="287"/>
      <c r="D705" s="287"/>
      <c r="E705" s="287"/>
      <c r="F705" s="287"/>
      <c r="I705" s="8"/>
      <c r="J705" s="8"/>
      <c r="K705" s="8"/>
      <c r="L705" s="8"/>
    </row>
    <row r="706" spans="1:12" x14ac:dyDescent="0.25">
      <c r="A706" s="387" t="s">
        <v>281</v>
      </c>
      <c r="B706" s="388">
        <f>STDEV(B709:B715)</f>
        <v>0.58832692563622102</v>
      </c>
      <c r="C706" s="287"/>
      <c r="D706" s="287"/>
      <c r="E706" s="287"/>
      <c r="F706" s="287"/>
      <c r="I706" s="8"/>
      <c r="J706" s="8"/>
      <c r="K706" s="8"/>
      <c r="L706" s="8"/>
    </row>
    <row r="707" spans="1:12" x14ac:dyDescent="0.25">
      <c r="A707" s="387" t="s">
        <v>279</v>
      </c>
      <c r="B707" s="388">
        <f>AVERAGE(B709:B715)</f>
        <v>3.995714285714286</v>
      </c>
      <c r="C707" s="287"/>
      <c r="D707" s="287"/>
      <c r="E707" s="287"/>
      <c r="F707" s="287"/>
      <c r="I707" s="8"/>
      <c r="J707" s="8"/>
      <c r="K707" s="8"/>
      <c r="L707" s="8"/>
    </row>
    <row r="708" spans="1:12" ht="15.75" thickBot="1" x14ac:dyDescent="0.3">
      <c r="A708" s="389" t="s">
        <v>283</v>
      </c>
      <c r="B708" s="390">
        <f>CONFIDENCE(0.05,B706,B705)</f>
        <v>0.43583067711612938</v>
      </c>
      <c r="C708" s="287"/>
      <c r="D708" s="287"/>
      <c r="E708" s="287"/>
      <c r="F708" s="287"/>
      <c r="I708" s="8"/>
      <c r="J708" s="8"/>
      <c r="K708" s="8"/>
      <c r="L708" s="8"/>
    </row>
    <row r="709" spans="1:12" x14ac:dyDescent="0.25">
      <c r="A709" s="391" t="s">
        <v>1170</v>
      </c>
      <c r="B709" s="405">
        <f>AVERAGE(2.8,4.5)</f>
        <v>3.65</v>
      </c>
      <c r="C709" s="393" t="s">
        <v>1040</v>
      </c>
      <c r="D709" s="287" t="s">
        <v>1049</v>
      </c>
      <c r="E709" s="287"/>
      <c r="F709" s="287"/>
      <c r="I709" s="71"/>
      <c r="J709" s="71"/>
      <c r="K709" s="71"/>
      <c r="L709" s="71"/>
    </row>
    <row r="710" spans="1:12" x14ac:dyDescent="0.25">
      <c r="A710" s="387" t="s">
        <v>1171</v>
      </c>
      <c r="B710" s="396">
        <v>3.7</v>
      </c>
      <c r="C710" s="395" t="s">
        <v>1040</v>
      </c>
      <c r="D710" s="287" t="s">
        <v>1051</v>
      </c>
      <c r="E710" s="287"/>
      <c r="F710" s="287"/>
    </row>
    <row r="711" spans="1:12" x14ac:dyDescent="0.25">
      <c r="A711" s="387" t="s">
        <v>1172</v>
      </c>
      <c r="B711" s="396">
        <v>4.2</v>
      </c>
      <c r="C711" s="395" t="s">
        <v>1040</v>
      </c>
      <c r="D711" s="287" t="s">
        <v>1090</v>
      </c>
      <c r="E711" s="287"/>
      <c r="F711" s="287"/>
      <c r="I711" s="71"/>
      <c r="J711" s="71"/>
      <c r="K711" s="71"/>
      <c r="L711" s="71"/>
    </row>
    <row r="712" spans="1:12" x14ac:dyDescent="0.25">
      <c r="A712" s="387" t="s">
        <v>1173</v>
      </c>
      <c r="B712" s="394">
        <f>AVERAGE(2.8,5.6)</f>
        <v>4.1999999999999993</v>
      </c>
      <c r="C712" s="395" t="s">
        <v>1040</v>
      </c>
      <c r="D712" s="287" t="s">
        <v>1043</v>
      </c>
      <c r="E712" s="287"/>
      <c r="F712" s="287"/>
      <c r="I712" s="71"/>
      <c r="J712" s="71"/>
      <c r="K712" s="71"/>
      <c r="L712" s="71"/>
    </row>
    <row r="713" spans="1:12" x14ac:dyDescent="0.25">
      <c r="A713" s="387" t="s">
        <v>1174</v>
      </c>
      <c r="B713" s="394">
        <f>AVERAGE(3.6,4)</f>
        <v>3.8</v>
      </c>
      <c r="C713" s="395" t="s">
        <v>1040</v>
      </c>
      <c r="D713" s="287" t="s">
        <v>1053</v>
      </c>
      <c r="E713" s="287"/>
      <c r="F713" s="287"/>
      <c r="I713" s="71"/>
      <c r="J713" s="71"/>
      <c r="K713" s="71"/>
      <c r="L713" s="71"/>
    </row>
    <row r="714" spans="1:12" x14ac:dyDescent="0.25">
      <c r="A714" s="387" t="s">
        <v>1175</v>
      </c>
      <c r="B714" s="396">
        <v>3.3</v>
      </c>
      <c r="C714" s="395" t="s">
        <v>1040</v>
      </c>
      <c r="D714" s="287" t="s">
        <v>89</v>
      </c>
      <c r="E714" s="287"/>
      <c r="F714" s="287"/>
      <c r="I714" s="71"/>
      <c r="J714" s="71"/>
      <c r="K714" s="71"/>
      <c r="L714" s="71"/>
    </row>
    <row r="715" spans="1:12" ht="15.75" thickBot="1" x14ac:dyDescent="0.3">
      <c r="A715" s="389" t="s">
        <v>1176</v>
      </c>
      <c r="B715" s="399">
        <v>5.12</v>
      </c>
      <c r="C715" s="403" t="s">
        <v>1040</v>
      </c>
      <c r="D715" s="287" t="s">
        <v>1056</v>
      </c>
      <c r="E715" s="287" t="s">
        <v>1057</v>
      </c>
      <c r="F715" s="287"/>
      <c r="I715" s="71"/>
      <c r="J715" s="71"/>
      <c r="K715" s="71"/>
      <c r="L715" s="71"/>
    </row>
    <row r="716" spans="1:12" x14ac:dyDescent="0.25">
      <c r="A716" s="287"/>
      <c r="B716" s="384"/>
      <c r="C716" s="287"/>
      <c r="D716" s="287"/>
      <c r="E716" s="287"/>
      <c r="F716" s="287"/>
      <c r="I716" s="71"/>
      <c r="J716" s="71"/>
      <c r="K716" s="71"/>
      <c r="L716" s="71"/>
    </row>
    <row r="717" spans="1:12" x14ac:dyDescent="0.25">
      <c r="A717" s="287" t="s">
        <v>1177</v>
      </c>
      <c r="B717" s="384">
        <v>3.3</v>
      </c>
      <c r="C717" s="287" t="s">
        <v>1040</v>
      </c>
      <c r="D717" s="287" t="s">
        <v>1090</v>
      </c>
      <c r="E717" s="287"/>
      <c r="F717" s="287"/>
      <c r="I717" s="71"/>
      <c r="J717" s="71"/>
      <c r="K717" s="71"/>
      <c r="L717" s="71"/>
    </row>
    <row r="718" spans="1:12" ht="15.75" thickBot="1" x14ac:dyDescent="0.3">
      <c r="A718" s="287"/>
      <c r="B718" s="384"/>
      <c r="C718" s="287"/>
      <c r="D718" s="287"/>
      <c r="E718" s="287"/>
      <c r="F718" s="287"/>
      <c r="I718" s="71"/>
      <c r="J718" s="71"/>
      <c r="K718" s="71"/>
      <c r="L718" s="71"/>
    </row>
    <row r="719" spans="1:12" x14ac:dyDescent="0.25">
      <c r="A719" s="385" t="s">
        <v>1178</v>
      </c>
      <c r="B719" s="386">
        <f>B722</f>
        <v>2.3249999999999997</v>
      </c>
      <c r="C719" s="287"/>
      <c r="D719" s="287"/>
      <c r="E719" s="287"/>
      <c r="F719" s="287"/>
      <c r="I719" s="71"/>
      <c r="J719" s="71"/>
      <c r="K719" s="71"/>
      <c r="L719" s="71"/>
    </row>
    <row r="720" spans="1:12" x14ac:dyDescent="0.25">
      <c r="A720" s="387" t="s">
        <v>295</v>
      </c>
      <c r="B720" s="388">
        <f>COUNT(B724:B727)</f>
        <v>4</v>
      </c>
      <c r="C720" s="287"/>
      <c r="D720" s="287"/>
      <c r="E720" s="287"/>
      <c r="F720" s="287"/>
    </row>
    <row r="721" spans="1:12" x14ac:dyDescent="0.25">
      <c r="A721" s="387" t="s">
        <v>281</v>
      </c>
      <c r="B721" s="388">
        <f>STDEV(B724:B727)</f>
        <v>0.41932485418030552</v>
      </c>
      <c r="C721" s="287"/>
      <c r="D721" s="287"/>
      <c r="E721" s="287"/>
      <c r="F721" s="287"/>
      <c r="I721" s="71"/>
      <c r="J721" s="71"/>
      <c r="K721" s="71"/>
      <c r="L721" s="71"/>
    </row>
    <row r="722" spans="1:12" x14ac:dyDescent="0.25">
      <c r="A722" s="387" t="s">
        <v>279</v>
      </c>
      <c r="B722" s="388">
        <f>AVERAGE(B724:B727)</f>
        <v>2.3249999999999997</v>
      </c>
      <c r="C722" s="287"/>
      <c r="D722" s="287"/>
      <c r="E722" s="287"/>
      <c r="F722" s="287"/>
      <c r="I722" s="71"/>
      <c r="J722" s="71"/>
      <c r="K722" s="71"/>
      <c r="L722" s="71"/>
    </row>
    <row r="723" spans="1:12" ht="15.75" thickBot="1" x14ac:dyDescent="0.3">
      <c r="A723" s="389" t="s">
        <v>283</v>
      </c>
      <c r="B723" s="390">
        <f>CONFIDENCE(0.05,B721,B720)</f>
        <v>0.41093080600795429</v>
      </c>
      <c r="C723" s="287"/>
      <c r="D723" s="287"/>
      <c r="E723" s="287"/>
      <c r="F723" s="287"/>
      <c r="I723" s="71"/>
      <c r="J723" s="71"/>
      <c r="K723" s="71"/>
      <c r="L723" s="71"/>
    </row>
    <row r="724" spans="1:12" x14ac:dyDescent="0.25">
      <c r="A724" s="391" t="s">
        <v>1179</v>
      </c>
      <c r="B724" s="392">
        <v>2.2000000000000002</v>
      </c>
      <c r="C724" s="393" t="s">
        <v>1040</v>
      </c>
      <c r="D724" s="287" t="s">
        <v>1049</v>
      </c>
      <c r="E724" s="287"/>
      <c r="F724" s="287"/>
      <c r="I724" s="71"/>
      <c r="J724" s="71"/>
      <c r="K724" s="71"/>
      <c r="L724" s="71"/>
    </row>
    <row r="725" spans="1:12" x14ac:dyDescent="0.25">
      <c r="A725" s="387" t="s">
        <v>1180</v>
      </c>
      <c r="B725" s="396">
        <v>1.9</v>
      </c>
      <c r="C725" s="395" t="s">
        <v>1040</v>
      </c>
      <c r="D725" s="287" t="s">
        <v>1051</v>
      </c>
      <c r="E725" s="287"/>
      <c r="F725" s="287"/>
      <c r="I725" s="71"/>
      <c r="J725" s="71"/>
      <c r="K725" s="71"/>
      <c r="L725" s="71"/>
    </row>
    <row r="726" spans="1:12" x14ac:dyDescent="0.25">
      <c r="A726" s="387" t="s">
        <v>1181</v>
      </c>
      <c r="B726" s="396">
        <v>2.2999999999999998</v>
      </c>
      <c r="C726" s="395" t="s">
        <v>1040</v>
      </c>
      <c r="D726" s="287" t="s">
        <v>1090</v>
      </c>
      <c r="E726" s="287"/>
      <c r="F726" s="287"/>
      <c r="I726" s="71"/>
      <c r="J726" s="71"/>
      <c r="K726" s="71"/>
      <c r="L726" s="71"/>
    </row>
    <row r="727" spans="1:12" ht="15.75" thickBot="1" x14ac:dyDescent="0.3">
      <c r="A727" s="389" t="s">
        <v>1182</v>
      </c>
      <c r="B727" s="399">
        <v>2.9</v>
      </c>
      <c r="C727" s="403" t="s">
        <v>1040</v>
      </c>
      <c r="D727" s="287" t="s">
        <v>1053</v>
      </c>
      <c r="E727" s="287"/>
      <c r="F727" s="287"/>
    </row>
    <row r="728" spans="1:12" ht="15.75" thickBot="1" x14ac:dyDescent="0.3">
      <c r="A728" s="401"/>
      <c r="B728" s="396"/>
      <c r="C728" s="401"/>
      <c r="D728" s="287"/>
      <c r="E728" s="287"/>
      <c r="F728" s="287"/>
    </row>
    <row r="729" spans="1:12" x14ac:dyDescent="0.25">
      <c r="A729" s="410" t="s">
        <v>1183</v>
      </c>
      <c r="B729" s="415">
        <f>B732</f>
        <v>6.7750000000000004</v>
      </c>
      <c r="C729" s="287"/>
      <c r="D729" s="287"/>
      <c r="E729" s="287"/>
      <c r="F729" s="287"/>
      <c r="I729" s="71"/>
      <c r="J729" s="71"/>
      <c r="K729" s="71"/>
      <c r="L729" s="71"/>
    </row>
    <row r="730" spans="1:12" x14ac:dyDescent="0.25">
      <c r="A730" s="387" t="s">
        <v>295</v>
      </c>
      <c r="B730" s="388">
        <f>COUNT(B734:B735)</f>
        <v>2</v>
      </c>
      <c r="C730" s="287"/>
      <c r="D730" s="287"/>
      <c r="E730" s="287"/>
      <c r="F730" s="287"/>
      <c r="I730" s="71"/>
      <c r="J730" s="71"/>
      <c r="K730" s="71"/>
      <c r="L730" s="71"/>
    </row>
    <row r="731" spans="1:12" x14ac:dyDescent="0.25">
      <c r="A731" s="387" t="s">
        <v>281</v>
      </c>
      <c r="B731" s="388">
        <f>STDEV(B734:B735)</f>
        <v>2.2980970388562794</v>
      </c>
      <c r="C731" s="287"/>
      <c r="D731" s="287"/>
      <c r="E731" s="287"/>
      <c r="F731" s="287"/>
      <c r="I731" s="71"/>
      <c r="J731" s="71"/>
      <c r="K731" s="71"/>
      <c r="L731" s="71"/>
    </row>
    <row r="732" spans="1:12" x14ac:dyDescent="0.25">
      <c r="A732" s="387" t="s">
        <v>279</v>
      </c>
      <c r="B732" s="388">
        <f>AVERAGE(B734:B735)</f>
        <v>6.7750000000000004</v>
      </c>
      <c r="C732" s="287"/>
      <c r="D732" s="287"/>
      <c r="E732" s="287"/>
      <c r="F732" s="287"/>
      <c r="I732" s="71"/>
      <c r="J732" s="71"/>
      <c r="K732" s="71"/>
      <c r="L732" s="71"/>
    </row>
    <row r="733" spans="1:12" ht="15.75" thickBot="1" x14ac:dyDescent="0.3">
      <c r="A733" s="389" t="s">
        <v>283</v>
      </c>
      <c r="B733" s="390">
        <f>CONFIDENCE(0.05,B731,B730)</f>
        <v>3.1849414748775868</v>
      </c>
      <c r="C733" s="287"/>
      <c r="D733" s="287"/>
      <c r="E733" s="287"/>
      <c r="F733" s="287"/>
      <c r="I733" s="71"/>
      <c r="J733" s="71"/>
      <c r="K733" s="71"/>
      <c r="L733" s="71"/>
    </row>
    <row r="734" spans="1:12" x14ac:dyDescent="0.25">
      <c r="A734" s="391" t="s">
        <v>1184</v>
      </c>
      <c r="B734" s="405">
        <v>8.4</v>
      </c>
      <c r="C734" s="393" t="s">
        <v>1040</v>
      </c>
      <c r="D734" s="287" t="s">
        <v>1051</v>
      </c>
      <c r="E734" s="287"/>
      <c r="F734" s="287"/>
      <c r="I734" s="71"/>
      <c r="J734" s="71"/>
      <c r="K734" s="71"/>
      <c r="L734" s="71"/>
    </row>
    <row r="735" spans="1:12" ht="15.75" thickBot="1" x14ac:dyDescent="0.3">
      <c r="A735" s="389" t="s">
        <v>1185</v>
      </c>
      <c r="B735" s="402">
        <v>5.15</v>
      </c>
      <c r="C735" s="403" t="s">
        <v>1040</v>
      </c>
      <c r="D735" s="287" t="s">
        <v>1056</v>
      </c>
      <c r="E735" s="287" t="s">
        <v>1057</v>
      </c>
      <c r="F735" s="287"/>
    </row>
    <row r="736" spans="1:12" ht="15.75" thickBot="1" x14ac:dyDescent="0.3">
      <c r="A736" s="401"/>
      <c r="B736" s="394"/>
      <c r="C736" s="401"/>
      <c r="D736" s="287"/>
      <c r="E736" s="287"/>
      <c r="F736" s="287"/>
    </row>
    <row r="737" spans="1:12" x14ac:dyDescent="0.25">
      <c r="A737" s="410" t="s">
        <v>1186</v>
      </c>
      <c r="B737" s="415">
        <f>B740</f>
        <v>4.306</v>
      </c>
      <c r="C737" s="287"/>
      <c r="D737" s="287"/>
      <c r="E737" s="287"/>
      <c r="F737" s="287"/>
    </row>
    <row r="738" spans="1:12" x14ac:dyDescent="0.25">
      <c r="A738" s="387" t="s">
        <v>295</v>
      </c>
      <c r="B738" s="388">
        <f>COUNT(B742:B746)</f>
        <v>5</v>
      </c>
      <c r="C738" s="287"/>
      <c r="D738" s="287"/>
      <c r="E738" s="287"/>
      <c r="F738" s="287"/>
      <c r="I738" s="71"/>
      <c r="J738" s="71"/>
      <c r="K738" s="71"/>
      <c r="L738" s="71"/>
    </row>
    <row r="739" spans="1:12" x14ac:dyDescent="0.25">
      <c r="A739" s="387" t="s">
        <v>281</v>
      </c>
      <c r="B739" s="388">
        <f>STDEV(B742:B746)</f>
        <v>1.7597386169542337</v>
      </c>
      <c r="C739" s="287"/>
      <c r="D739" s="287"/>
      <c r="E739" s="287"/>
      <c r="F739" s="287"/>
      <c r="I739" s="71"/>
      <c r="J739" s="71"/>
      <c r="K739" s="71"/>
      <c r="L739" s="71"/>
    </row>
    <row r="740" spans="1:12" x14ac:dyDescent="0.25">
      <c r="A740" s="387" t="s">
        <v>279</v>
      </c>
      <c r="B740" s="388">
        <f>AVERAGE(B742:B746)</f>
        <v>4.306</v>
      </c>
      <c r="C740" s="287"/>
      <c r="D740" s="287"/>
      <c r="E740" s="287"/>
      <c r="F740" s="287"/>
      <c r="I740" s="71"/>
      <c r="J740" s="71"/>
      <c r="K740" s="71"/>
      <c r="L740" s="71"/>
    </row>
    <row r="741" spans="1:12" ht="15.75" thickBot="1" x14ac:dyDescent="0.3">
      <c r="A741" s="389" t="s">
        <v>283</v>
      </c>
      <c r="B741" s="390">
        <f>CONFIDENCE(0.05,B739,B738)</f>
        <v>1.5424505632834444</v>
      </c>
      <c r="C741" s="287"/>
      <c r="D741" s="287"/>
      <c r="E741" s="287"/>
      <c r="F741" s="287"/>
    </row>
    <row r="742" spans="1:12" x14ac:dyDescent="0.25">
      <c r="A742" s="391" t="s">
        <v>1187</v>
      </c>
      <c r="B742" s="392">
        <v>6.8</v>
      </c>
      <c r="C742" s="393" t="s">
        <v>1040</v>
      </c>
      <c r="D742" s="287" t="s">
        <v>1049</v>
      </c>
      <c r="E742" s="287"/>
      <c r="F742" s="287"/>
      <c r="I742" s="71"/>
      <c r="J742" s="71"/>
      <c r="K742" s="71"/>
      <c r="L742" s="71"/>
    </row>
    <row r="743" spans="1:12" x14ac:dyDescent="0.25">
      <c r="A743" s="387" t="s">
        <v>1188</v>
      </c>
      <c r="B743" s="396">
        <v>3.7</v>
      </c>
      <c r="C743" s="395" t="s">
        <v>1040</v>
      </c>
      <c r="D743" s="287" t="s">
        <v>1090</v>
      </c>
      <c r="E743" s="287"/>
      <c r="F743" s="287"/>
      <c r="I743" s="71"/>
      <c r="J743" s="71"/>
      <c r="K743" s="71"/>
      <c r="L743" s="71"/>
    </row>
    <row r="744" spans="1:12" x14ac:dyDescent="0.25">
      <c r="A744" s="387" t="s">
        <v>1189</v>
      </c>
      <c r="B744" s="396">
        <f>AVERAGE(1.9,3.7)</f>
        <v>2.8</v>
      </c>
      <c r="C744" s="395" t="s">
        <v>1040</v>
      </c>
      <c r="D744" s="287" t="s">
        <v>1043</v>
      </c>
      <c r="E744" s="287"/>
      <c r="F744" s="287"/>
    </row>
    <row r="745" spans="1:12" x14ac:dyDescent="0.25">
      <c r="A745" s="387" t="s">
        <v>1190</v>
      </c>
      <c r="B745" s="396">
        <v>5.43</v>
      </c>
      <c r="C745" s="395" t="s">
        <v>1040</v>
      </c>
      <c r="D745" s="287" t="s">
        <v>1059</v>
      </c>
      <c r="E745" s="287"/>
      <c r="F745" s="287"/>
    </row>
    <row r="746" spans="1:12" ht="15.75" thickBot="1" x14ac:dyDescent="0.3">
      <c r="A746" s="389" t="s">
        <v>1191</v>
      </c>
      <c r="B746" s="399">
        <v>2.8</v>
      </c>
      <c r="C746" s="403" t="s">
        <v>1040</v>
      </c>
      <c r="D746" s="287" t="s">
        <v>1090</v>
      </c>
      <c r="E746" s="287"/>
      <c r="F746" s="287"/>
    </row>
    <row r="747" spans="1:12" ht="15.75" thickBot="1" x14ac:dyDescent="0.3">
      <c r="A747" s="287"/>
      <c r="B747" s="384"/>
      <c r="C747" s="287"/>
      <c r="D747" s="287"/>
      <c r="E747" s="287"/>
      <c r="F747" s="287"/>
    </row>
    <row r="748" spans="1:12" x14ac:dyDescent="0.25">
      <c r="A748" s="391" t="s">
        <v>1192</v>
      </c>
      <c r="B748" s="392">
        <v>2.8</v>
      </c>
      <c r="C748" s="393" t="s">
        <v>1040</v>
      </c>
      <c r="D748" s="287" t="s">
        <v>1090</v>
      </c>
      <c r="E748" s="287"/>
      <c r="F748" s="287"/>
      <c r="I748" s="71"/>
      <c r="J748" s="71"/>
      <c r="K748" s="71"/>
      <c r="L748" s="71"/>
    </row>
    <row r="749" spans="1:12" x14ac:dyDescent="0.25">
      <c r="A749" s="387" t="s">
        <v>1193</v>
      </c>
      <c r="B749" s="396">
        <v>8.5</v>
      </c>
      <c r="C749" s="395" t="s">
        <v>1040</v>
      </c>
      <c r="D749" s="287" t="s">
        <v>1132</v>
      </c>
      <c r="E749" s="287"/>
      <c r="F749" s="287"/>
      <c r="I749" s="71"/>
      <c r="J749" s="71"/>
      <c r="K749" s="71"/>
      <c r="L749" s="71"/>
    </row>
    <row r="750" spans="1:12" ht="15.75" thickBot="1" x14ac:dyDescent="0.3">
      <c r="A750" s="389" t="s">
        <v>1194</v>
      </c>
      <c r="B750" s="399">
        <v>2.8</v>
      </c>
      <c r="C750" s="403" t="s">
        <v>1040</v>
      </c>
      <c r="D750" s="287" t="s">
        <v>1090</v>
      </c>
      <c r="E750" s="287"/>
      <c r="F750" s="287"/>
      <c r="I750" s="71"/>
      <c r="J750" s="71"/>
      <c r="K750" s="71"/>
      <c r="L750" s="71"/>
    </row>
    <row r="751" spans="1:12" x14ac:dyDescent="0.25">
      <c r="A751" s="287"/>
      <c r="B751" s="384"/>
      <c r="C751" s="287"/>
      <c r="D751" s="287"/>
      <c r="E751" s="287"/>
      <c r="F751" s="287"/>
      <c r="I751" s="71"/>
      <c r="J751" s="71"/>
      <c r="K751" s="71"/>
      <c r="L751" s="71"/>
    </row>
    <row r="752" spans="1:12" x14ac:dyDescent="0.25">
      <c r="A752" s="383" t="s">
        <v>1195</v>
      </c>
      <c r="B752" s="384"/>
      <c r="C752" s="287"/>
      <c r="D752" s="287"/>
      <c r="E752" s="287"/>
      <c r="F752" s="287"/>
      <c r="I752" s="71"/>
      <c r="J752" s="71"/>
      <c r="K752" s="71"/>
      <c r="L752" s="71"/>
    </row>
    <row r="753" spans="1:12" ht="15.75" thickBot="1" x14ac:dyDescent="0.3">
      <c r="A753" s="383"/>
      <c r="B753" s="384"/>
      <c r="C753" s="287"/>
      <c r="D753" s="287"/>
      <c r="E753" s="287"/>
      <c r="F753" s="287"/>
      <c r="I753" s="71"/>
      <c r="J753" s="71"/>
      <c r="K753" s="71"/>
      <c r="L753" s="71"/>
    </row>
    <row r="754" spans="1:12" x14ac:dyDescent="0.25">
      <c r="A754" s="410" t="s">
        <v>1196</v>
      </c>
      <c r="B754" s="386">
        <f>B757</f>
        <v>5.0724999999999998</v>
      </c>
      <c r="C754" s="287"/>
      <c r="D754" s="287"/>
      <c r="E754" s="287"/>
      <c r="F754" s="287"/>
      <c r="I754" s="71"/>
      <c r="J754" s="71"/>
      <c r="K754" s="71"/>
      <c r="L754" s="71"/>
    </row>
    <row r="755" spans="1:12" x14ac:dyDescent="0.25">
      <c r="A755" s="387" t="s">
        <v>295</v>
      </c>
      <c r="B755" s="388">
        <f>COUNT(B759:B762)</f>
        <v>4</v>
      </c>
      <c r="C755" s="287"/>
      <c r="D755" s="287"/>
      <c r="E755" s="287"/>
      <c r="F755" s="287"/>
      <c r="I755" s="71"/>
      <c r="J755" s="71"/>
      <c r="K755" s="71"/>
      <c r="L755" s="71"/>
    </row>
    <row r="756" spans="1:12" x14ac:dyDescent="0.25">
      <c r="A756" s="387" t="s">
        <v>281</v>
      </c>
      <c r="B756" s="388">
        <f>STDEV(B759:B762)</f>
        <v>2.3674934002019947</v>
      </c>
      <c r="C756" s="287"/>
      <c r="D756" s="287"/>
      <c r="E756" s="287"/>
      <c r="F756" s="287"/>
      <c r="I756" s="71"/>
      <c r="J756" s="71"/>
      <c r="K756" s="71"/>
      <c r="L756" s="71"/>
    </row>
    <row r="757" spans="1:12" x14ac:dyDescent="0.25">
      <c r="A757" s="387" t="s">
        <v>279</v>
      </c>
      <c r="B757" s="388">
        <f>AVERAGE(B759:B762)</f>
        <v>5.0724999999999998</v>
      </c>
      <c r="C757" s="287"/>
      <c r="D757" s="287"/>
      <c r="E757" s="287"/>
      <c r="F757" s="287"/>
      <c r="I757" s="71"/>
      <c r="J757" s="71"/>
      <c r="K757" s="71"/>
      <c r="L757" s="71"/>
    </row>
    <row r="758" spans="1:12" ht="15.75" thickBot="1" x14ac:dyDescent="0.3">
      <c r="A758" s="389" t="s">
        <v>283</v>
      </c>
      <c r="B758" s="409">
        <f>CONFIDENCE(0.05,B756,B755)</f>
        <v>2.3201008990160905</v>
      </c>
      <c r="C758" s="287"/>
      <c r="D758" s="287"/>
      <c r="E758" s="287"/>
      <c r="F758" s="287"/>
    </row>
    <row r="759" spans="1:12" x14ac:dyDescent="0.25">
      <c r="A759" s="391" t="s">
        <v>1197</v>
      </c>
      <c r="B759" s="392">
        <v>2.8</v>
      </c>
      <c r="C759" s="393" t="s">
        <v>1040</v>
      </c>
      <c r="D759" s="287" t="s">
        <v>1051</v>
      </c>
      <c r="E759" s="287"/>
      <c r="F759" s="287"/>
    </row>
    <row r="760" spans="1:12" x14ac:dyDescent="0.25">
      <c r="A760" s="387" t="s">
        <v>1198</v>
      </c>
      <c r="B760" s="396">
        <v>3.3</v>
      </c>
      <c r="C760" s="395" t="s">
        <v>1040</v>
      </c>
      <c r="D760" s="287" t="s">
        <v>1090</v>
      </c>
      <c r="E760" s="287"/>
      <c r="F760" s="287"/>
      <c r="I760" s="71"/>
      <c r="J760" s="71"/>
      <c r="K760" s="71"/>
      <c r="L760" s="71"/>
    </row>
    <row r="761" spans="1:12" x14ac:dyDescent="0.25">
      <c r="A761" s="387" t="s">
        <v>1199</v>
      </c>
      <c r="B761" s="396">
        <v>7.5</v>
      </c>
      <c r="C761" s="395" t="s">
        <v>1040</v>
      </c>
      <c r="D761" s="287" t="s">
        <v>1090</v>
      </c>
      <c r="E761" s="287"/>
      <c r="F761" s="287"/>
      <c r="I761" s="71"/>
      <c r="J761" s="71"/>
      <c r="K761" s="71"/>
      <c r="L761" s="71"/>
    </row>
    <row r="762" spans="1:12" ht="15.75" thickBot="1" x14ac:dyDescent="0.3">
      <c r="A762" s="389" t="s">
        <v>1200</v>
      </c>
      <c r="B762" s="402">
        <f>(4.73+8.65)/2</f>
        <v>6.69</v>
      </c>
      <c r="C762" s="403" t="s">
        <v>1040</v>
      </c>
      <c r="D762" s="287" t="s">
        <v>1056</v>
      </c>
      <c r="E762" s="287" t="s">
        <v>1057</v>
      </c>
      <c r="F762" s="287"/>
      <c r="I762" s="71"/>
      <c r="J762" s="71"/>
      <c r="K762" s="71"/>
      <c r="L762" s="71"/>
    </row>
    <row r="763" spans="1:12" ht="15.75" thickBot="1" x14ac:dyDescent="0.3">
      <c r="A763" s="287"/>
      <c r="B763" s="404"/>
      <c r="C763" s="287"/>
      <c r="D763" s="287"/>
      <c r="E763" s="287"/>
      <c r="F763" s="287"/>
      <c r="I763" s="71"/>
      <c r="J763" s="71"/>
      <c r="K763" s="71"/>
      <c r="L763" s="71"/>
    </row>
    <row r="764" spans="1:12" x14ac:dyDescent="0.25">
      <c r="A764" s="391" t="s">
        <v>1201</v>
      </c>
      <c r="B764" s="392">
        <v>6.7319999999999993</v>
      </c>
      <c r="C764" s="393" t="s">
        <v>1040</v>
      </c>
      <c r="D764" s="287" t="s">
        <v>1049</v>
      </c>
      <c r="E764" s="287"/>
      <c r="F764" s="287"/>
      <c r="I764" s="71"/>
      <c r="J764" s="71"/>
      <c r="K764" s="71"/>
      <c r="L764" s="71"/>
    </row>
    <row r="765" spans="1:12" x14ac:dyDescent="0.25">
      <c r="A765" s="387" t="s">
        <v>1202</v>
      </c>
      <c r="B765" s="396">
        <v>5.0999999999999996</v>
      </c>
      <c r="C765" s="395" t="s">
        <v>1040</v>
      </c>
      <c r="D765" s="287" t="s">
        <v>1051</v>
      </c>
      <c r="E765" s="287"/>
      <c r="F765" s="287"/>
      <c r="I765" s="71"/>
      <c r="J765" s="71"/>
      <c r="K765" s="71"/>
      <c r="L765" s="71"/>
    </row>
    <row r="766" spans="1:12" ht="15.75" thickBot="1" x14ac:dyDescent="0.3">
      <c r="A766" s="389" t="s">
        <v>1203</v>
      </c>
      <c r="B766" s="399">
        <v>5.6</v>
      </c>
      <c r="C766" s="403" t="s">
        <v>1040</v>
      </c>
      <c r="D766" s="287" t="s">
        <v>1090</v>
      </c>
      <c r="E766" s="287"/>
      <c r="F766" s="287"/>
      <c r="I766" s="71"/>
      <c r="J766" s="71"/>
      <c r="K766" s="71"/>
      <c r="L766" s="71"/>
    </row>
    <row r="767" spans="1:12" x14ac:dyDescent="0.25">
      <c r="A767" s="391" t="s">
        <v>1204</v>
      </c>
      <c r="B767" s="392">
        <v>4.2</v>
      </c>
      <c r="C767" s="393" t="s">
        <v>1040</v>
      </c>
      <c r="D767" s="287" t="s">
        <v>1051</v>
      </c>
      <c r="E767" s="287"/>
      <c r="F767" s="287"/>
      <c r="I767" s="71"/>
      <c r="J767" s="71"/>
      <c r="K767" s="71"/>
      <c r="L767" s="71"/>
    </row>
    <row r="768" spans="1:12" ht="15.75" thickBot="1" x14ac:dyDescent="0.3">
      <c r="A768" s="401"/>
      <c r="B768" s="396"/>
      <c r="C768" s="401"/>
      <c r="D768" s="287"/>
      <c r="E768" s="287"/>
      <c r="F768" s="287"/>
      <c r="I768" s="71"/>
      <c r="J768" s="71"/>
      <c r="K768" s="71"/>
      <c r="L768" s="71"/>
    </row>
    <row r="769" spans="1:12" x14ac:dyDescent="0.25">
      <c r="A769" s="410" t="s">
        <v>1205</v>
      </c>
      <c r="B769" s="386">
        <f>B772</f>
        <v>2.2777500000000002</v>
      </c>
      <c r="C769" s="401"/>
      <c r="D769" s="287"/>
      <c r="E769" s="287"/>
      <c r="F769" s="287"/>
    </row>
    <row r="770" spans="1:12" x14ac:dyDescent="0.25">
      <c r="A770" s="387" t="s">
        <v>295</v>
      </c>
      <c r="B770" s="388">
        <f>COUNT(B774:B777)</f>
        <v>4</v>
      </c>
      <c r="C770" s="401"/>
      <c r="D770" s="287"/>
      <c r="E770" s="287"/>
      <c r="F770" s="287"/>
    </row>
    <row r="771" spans="1:12" x14ac:dyDescent="0.25">
      <c r="A771" s="387" t="s">
        <v>281</v>
      </c>
      <c r="B771" s="388">
        <f>STDEV(B774:B777)</f>
        <v>1.4408470598922005</v>
      </c>
      <c r="C771" s="401"/>
      <c r="D771" s="287"/>
      <c r="E771" s="287"/>
      <c r="F771" s="287"/>
    </row>
    <row r="772" spans="1:12" x14ac:dyDescent="0.25">
      <c r="A772" s="387" t="s">
        <v>279</v>
      </c>
      <c r="B772" s="388">
        <f>AVERAGE(B774:B777)</f>
        <v>2.2777500000000002</v>
      </c>
      <c r="C772" s="401"/>
      <c r="D772" s="287"/>
      <c r="E772" s="287"/>
      <c r="F772" s="287"/>
      <c r="I772" s="71"/>
      <c r="J772" s="71"/>
      <c r="K772" s="71"/>
      <c r="L772" s="71"/>
    </row>
    <row r="773" spans="1:12" ht="15.75" thickBot="1" x14ac:dyDescent="0.3">
      <c r="A773" s="387" t="s">
        <v>283</v>
      </c>
      <c r="B773" s="407">
        <f>CONFIDENCE(0.05,B771,B770)</f>
        <v>1.4120041723095693</v>
      </c>
      <c r="C773" s="287"/>
      <c r="D773" s="287"/>
      <c r="E773" s="287"/>
      <c r="F773" s="287"/>
      <c r="I773" s="71"/>
      <c r="J773" s="71"/>
      <c r="K773" s="71"/>
      <c r="L773" s="71"/>
    </row>
    <row r="774" spans="1:12" x14ac:dyDescent="0.25">
      <c r="A774" s="391" t="s">
        <v>1206</v>
      </c>
      <c r="B774" s="392">
        <v>4.3010000000000002</v>
      </c>
      <c r="C774" s="393" t="s">
        <v>1040</v>
      </c>
      <c r="D774" s="287" t="s">
        <v>1049</v>
      </c>
      <c r="E774" s="287"/>
      <c r="F774" s="287"/>
      <c r="I774" s="71"/>
      <c r="J774" s="71"/>
      <c r="K774" s="71"/>
      <c r="L774" s="71"/>
    </row>
    <row r="775" spans="1:12" x14ac:dyDescent="0.25">
      <c r="A775" s="387" t="s">
        <v>1207</v>
      </c>
      <c r="B775" s="396">
        <v>2.2999999999999998</v>
      </c>
      <c r="C775" s="395" t="s">
        <v>1040</v>
      </c>
      <c r="D775" s="287" t="s">
        <v>1090</v>
      </c>
      <c r="E775" s="287"/>
      <c r="F775" s="287"/>
      <c r="I775" s="71"/>
      <c r="J775" s="71"/>
      <c r="K775" s="71"/>
      <c r="L775" s="71"/>
    </row>
    <row r="776" spans="1:12" x14ac:dyDescent="0.25">
      <c r="A776" s="387" t="s">
        <v>1208</v>
      </c>
      <c r="B776" s="396">
        <v>1.1100000000000001</v>
      </c>
      <c r="C776" s="395" t="s">
        <v>1040</v>
      </c>
      <c r="D776" s="287" t="s">
        <v>1056</v>
      </c>
      <c r="E776" s="287"/>
      <c r="F776" s="287"/>
    </row>
    <row r="777" spans="1:12" ht="15.75" thickBot="1" x14ac:dyDescent="0.3">
      <c r="A777" s="389" t="s">
        <v>1209</v>
      </c>
      <c r="B777" s="399">
        <v>1.4</v>
      </c>
      <c r="C777" s="403" t="s">
        <v>1040</v>
      </c>
      <c r="D777" s="287" t="s">
        <v>1051</v>
      </c>
      <c r="E777" s="287"/>
      <c r="F777" s="287"/>
    </row>
    <row r="778" spans="1:12" ht="15.75" thickBot="1" x14ac:dyDescent="0.3">
      <c r="A778" s="401"/>
      <c r="B778" s="396"/>
      <c r="C778" s="401"/>
      <c r="D778" s="287"/>
      <c r="E778" s="287"/>
      <c r="F778" s="287"/>
    </row>
    <row r="779" spans="1:12" x14ac:dyDescent="0.25">
      <c r="A779" s="410" t="s">
        <v>1210</v>
      </c>
      <c r="B779" s="386">
        <f>B782</f>
        <v>5.7954166666666671</v>
      </c>
      <c r="C779" s="401"/>
      <c r="D779" s="287"/>
      <c r="E779" s="287"/>
      <c r="F779" s="287"/>
    </row>
    <row r="780" spans="1:12" x14ac:dyDescent="0.25">
      <c r="A780" s="387" t="s">
        <v>295</v>
      </c>
      <c r="B780" s="388">
        <f>COUNT(B784:B789)</f>
        <v>6</v>
      </c>
      <c r="C780" s="401"/>
      <c r="D780" s="287"/>
      <c r="E780" s="287"/>
      <c r="F780" s="287"/>
    </row>
    <row r="781" spans="1:12" x14ac:dyDescent="0.25">
      <c r="A781" s="387" t="s">
        <v>281</v>
      </c>
      <c r="B781" s="388">
        <f>STDEV(B784:B789)</f>
        <v>1.562338324968912</v>
      </c>
      <c r="C781" s="401"/>
      <c r="D781" s="287"/>
      <c r="E781" s="287"/>
      <c r="F781" s="287"/>
    </row>
    <row r="782" spans="1:12" x14ac:dyDescent="0.25">
      <c r="A782" s="387" t="s">
        <v>279</v>
      </c>
      <c r="B782" s="388">
        <f>AVERAGE(B784:B789)</f>
        <v>5.7954166666666671</v>
      </c>
      <c r="C782" s="401"/>
      <c r="D782" s="287"/>
      <c r="E782" s="287"/>
      <c r="F782" s="287"/>
    </row>
    <row r="783" spans="1:12" ht="15.75" thickBot="1" x14ac:dyDescent="0.3">
      <c r="A783" s="389" t="s">
        <v>283</v>
      </c>
      <c r="B783" s="409">
        <f>CONFIDENCE(0.05,B781,B780)</f>
        <v>1.2501080511267741</v>
      </c>
      <c r="C783" s="401"/>
      <c r="D783" s="287"/>
      <c r="E783" s="287"/>
      <c r="F783" s="287"/>
    </row>
    <row r="784" spans="1:12" x14ac:dyDescent="0.25">
      <c r="A784" s="391" t="s">
        <v>1211</v>
      </c>
      <c r="B784" s="392">
        <v>6.0774999999999997</v>
      </c>
      <c r="C784" s="393" t="s">
        <v>1040</v>
      </c>
      <c r="D784" s="287" t="s">
        <v>1049</v>
      </c>
      <c r="E784" s="287"/>
      <c r="F784" s="287"/>
    </row>
    <row r="785" spans="1:12" x14ac:dyDescent="0.25">
      <c r="A785" s="387" t="s">
        <v>1212</v>
      </c>
      <c r="B785" s="396">
        <v>3.7</v>
      </c>
      <c r="C785" s="395" t="s">
        <v>1040</v>
      </c>
      <c r="D785" s="287" t="s">
        <v>1051</v>
      </c>
      <c r="E785" s="287"/>
      <c r="F785" s="287"/>
    </row>
    <row r="786" spans="1:12" x14ac:dyDescent="0.25">
      <c r="A786" s="387" t="s">
        <v>1213</v>
      </c>
      <c r="B786" s="396">
        <v>4.2</v>
      </c>
      <c r="C786" s="395" t="s">
        <v>1040</v>
      </c>
      <c r="D786" s="287" t="s">
        <v>1090</v>
      </c>
      <c r="E786" s="287"/>
      <c r="F786" s="287"/>
    </row>
    <row r="787" spans="1:12" x14ac:dyDescent="0.25">
      <c r="A787" s="387" t="s">
        <v>1214</v>
      </c>
      <c r="B787" s="396">
        <v>7.48</v>
      </c>
      <c r="C787" s="395" t="s">
        <v>1040</v>
      </c>
      <c r="D787" s="287" t="s">
        <v>1138</v>
      </c>
      <c r="E787" s="287"/>
      <c r="F787" s="287"/>
    </row>
    <row r="788" spans="1:12" x14ac:dyDescent="0.25">
      <c r="A788" s="387" t="s">
        <v>1215</v>
      </c>
      <c r="B788" s="396">
        <f>(3.05+11.58)/2</f>
        <v>7.3149999999999995</v>
      </c>
      <c r="C788" s="395" t="s">
        <v>1040</v>
      </c>
      <c r="D788" s="287" t="s">
        <v>1056</v>
      </c>
      <c r="E788" s="287"/>
      <c r="F788" s="287"/>
    </row>
    <row r="789" spans="1:12" ht="15.75" thickBot="1" x14ac:dyDescent="0.3">
      <c r="A789" s="389" t="s">
        <v>1216</v>
      </c>
      <c r="B789" s="399">
        <v>6</v>
      </c>
      <c r="C789" s="403" t="s">
        <v>1040</v>
      </c>
      <c r="D789" s="287" t="s">
        <v>1132</v>
      </c>
      <c r="E789" s="287"/>
      <c r="F789" s="287"/>
    </row>
    <row r="790" spans="1:12" ht="15.75" thickBot="1" x14ac:dyDescent="0.3">
      <c r="A790" s="401"/>
      <c r="B790" s="396"/>
      <c r="C790" s="401"/>
      <c r="D790" s="287"/>
      <c r="E790" s="287"/>
      <c r="F790" s="287"/>
    </row>
    <row r="791" spans="1:12" x14ac:dyDescent="0.25">
      <c r="A791" s="391" t="s">
        <v>1217</v>
      </c>
      <c r="B791" s="392">
        <v>14.679500000000001</v>
      </c>
      <c r="C791" s="393" t="s">
        <v>1040</v>
      </c>
      <c r="D791" s="287" t="s">
        <v>1049</v>
      </c>
      <c r="E791" s="287"/>
      <c r="F791" s="287"/>
    </row>
    <row r="792" spans="1:12" x14ac:dyDescent="0.25">
      <c r="A792" s="387" t="s">
        <v>1218</v>
      </c>
      <c r="B792" s="396">
        <v>7.9</v>
      </c>
      <c r="C792" s="395" t="s">
        <v>1040</v>
      </c>
      <c r="D792" s="287" t="s">
        <v>1051</v>
      </c>
      <c r="E792" s="287"/>
      <c r="F792" s="287"/>
    </row>
    <row r="793" spans="1:12" x14ac:dyDescent="0.25">
      <c r="A793" s="387" t="s">
        <v>1219</v>
      </c>
      <c r="B793" s="396">
        <v>8.9</v>
      </c>
      <c r="C793" s="395" t="s">
        <v>1040</v>
      </c>
      <c r="D793" s="287" t="s">
        <v>1090</v>
      </c>
      <c r="E793" s="287"/>
      <c r="F793" s="287"/>
    </row>
    <row r="794" spans="1:12" ht="15.75" thickBot="1" x14ac:dyDescent="0.3">
      <c r="A794" s="389" t="s">
        <v>1220</v>
      </c>
      <c r="B794" s="399" t="s">
        <v>1221</v>
      </c>
      <c r="C794" s="403" t="s">
        <v>1040</v>
      </c>
      <c r="D794" s="287" t="s">
        <v>1043</v>
      </c>
      <c r="E794" s="287"/>
      <c r="F794" s="287"/>
    </row>
    <row r="795" spans="1:12" ht="15.75" thickBot="1" x14ac:dyDescent="0.3">
      <c r="A795" s="401"/>
      <c r="B795" s="396"/>
      <c r="C795" s="401"/>
      <c r="D795" s="287"/>
      <c r="E795" s="287"/>
      <c r="F795" s="287"/>
    </row>
    <row r="796" spans="1:12" x14ac:dyDescent="0.25">
      <c r="A796" s="391" t="s">
        <v>1222</v>
      </c>
      <c r="B796" s="392">
        <v>25.359000000000002</v>
      </c>
      <c r="C796" s="393" t="s">
        <v>1040</v>
      </c>
      <c r="D796" s="287" t="s">
        <v>1049</v>
      </c>
      <c r="E796" s="287"/>
      <c r="F796" s="287"/>
    </row>
    <row r="797" spans="1:12" x14ac:dyDescent="0.25">
      <c r="A797" s="387" t="s">
        <v>1223</v>
      </c>
      <c r="B797" s="396">
        <v>30.4</v>
      </c>
      <c r="C797" s="395" t="s">
        <v>1040</v>
      </c>
      <c r="D797" s="287" t="s">
        <v>1051</v>
      </c>
      <c r="E797" s="287"/>
      <c r="F797" s="287"/>
      <c r="I797" s="10"/>
      <c r="J797" s="10"/>
      <c r="K797" s="10"/>
      <c r="L797" s="10"/>
    </row>
    <row r="798" spans="1:12" x14ac:dyDescent="0.25">
      <c r="A798" s="387" t="s">
        <v>1224</v>
      </c>
      <c r="B798" s="396">
        <v>33.700000000000003</v>
      </c>
      <c r="C798" s="395" t="s">
        <v>1040</v>
      </c>
      <c r="D798" s="287" t="s">
        <v>1090</v>
      </c>
      <c r="E798" s="287"/>
      <c r="F798" s="287"/>
      <c r="I798" s="10"/>
      <c r="J798" s="10"/>
      <c r="K798" s="10"/>
      <c r="L798" s="10"/>
    </row>
    <row r="799" spans="1:12" x14ac:dyDescent="0.25">
      <c r="A799" s="387" t="s">
        <v>1225</v>
      </c>
      <c r="B799" s="396">
        <v>10.8</v>
      </c>
      <c r="C799" s="395" t="s">
        <v>1040</v>
      </c>
      <c r="D799" s="287" t="s">
        <v>1051</v>
      </c>
      <c r="E799" s="287"/>
      <c r="F799" s="287"/>
      <c r="I799" s="10"/>
      <c r="J799" s="10"/>
      <c r="K799" s="10"/>
      <c r="L799" s="10"/>
    </row>
    <row r="800" spans="1:12" x14ac:dyDescent="0.25">
      <c r="A800" s="387" t="s">
        <v>1226</v>
      </c>
      <c r="B800" s="396">
        <v>11.7</v>
      </c>
      <c r="C800" s="395" t="s">
        <v>1040</v>
      </c>
      <c r="D800" s="287" t="s">
        <v>1090</v>
      </c>
      <c r="E800" s="287"/>
      <c r="F800" s="287"/>
      <c r="I800" s="10"/>
      <c r="J800" s="10"/>
      <c r="K800" s="10"/>
      <c r="L800" s="10"/>
    </row>
    <row r="801" spans="1:12" x14ac:dyDescent="0.25">
      <c r="A801" s="387" t="s">
        <v>1227</v>
      </c>
      <c r="B801" s="396">
        <v>5.0999999999999996</v>
      </c>
      <c r="C801" s="395" t="s">
        <v>1040</v>
      </c>
      <c r="D801" s="287" t="s">
        <v>1090</v>
      </c>
      <c r="E801" s="287"/>
      <c r="F801" s="287"/>
      <c r="I801" s="10"/>
      <c r="J801" s="10"/>
      <c r="K801" s="10"/>
      <c r="L801" s="10"/>
    </row>
    <row r="802" spans="1:12" x14ac:dyDescent="0.25">
      <c r="A802" s="387" t="s">
        <v>1228</v>
      </c>
      <c r="B802" s="396">
        <v>10</v>
      </c>
      <c r="C802" s="395" t="s">
        <v>1040</v>
      </c>
      <c r="D802" s="287" t="s">
        <v>1132</v>
      </c>
      <c r="E802" s="287"/>
      <c r="F802" s="287"/>
    </row>
    <row r="803" spans="1:12" x14ac:dyDescent="0.25">
      <c r="A803" s="387" t="s">
        <v>1229</v>
      </c>
      <c r="B803" s="416">
        <v>6.7</v>
      </c>
      <c r="C803" s="395" t="s">
        <v>1040</v>
      </c>
      <c r="D803" s="287" t="s">
        <v>1090</v>
      </c>
      <c r="E803" s="287"/>
      <c r="F803" s="287"/>
    </row>
    <row r="804" spans="1:12" ht="15.75" thickBot="1" x14ac:dyDescent="0.3">
      <c r="A804" s="389" t="s">
        <v>1230</v>
      </c>
      <c r="B804" s="399">
        <v>4.7</v>
      </c>
      <c r="C804" s="403" t="s">
        <v>1040</v>
      </c>
      <c r="D804" s="287" t="s">
        <v>1090</v>
      </c>
      <c r="E804" s="287"/>
      <c r="F804" s="287"/>
    </row>
    <row r="805" spans="1:12" x14ac:dyDescent="0.25">
      <c r="A805" s="287"/>
      <c r="B805" s="384"/>
      <c r="C805" s="287"/>
      <c r="D805" s="287"/>
      <c r="E805" s="287"/>
      <c r="F805" s="287"/>
    </row>
    <row r="806" spans="1:12" ht="15.75" thickBot="1" x14ac:dyDescent="0.3">
      <c r="A806" s="383" t="s">
        <v>1231</v>
      </c>
      <c r="B806" s="384"/>
      <c r="C806" s="287"/>
      <c r="D806" s="287"/>
      <c r="E806" s="287"/>
      <c r="F806" s="287"/>
    </row>
    <row r="807" spans="1:12" x14ac:dyDescent="0.25">
      <c r="A807" s="385" t="s">
        <v>1232</v>
      </c>
      <c r="B807" s="386">
        <f>B810</f>
        <v>15.606100000000001</v>
      </c>
      <c r="C807" s="287"/>
      <c r="D807" s="287"/>
      <c r="E807" s="287"/>
      <c r="F807" s="287"/>
    </row>
    <row r="808" spans="1:12" x14ac:dyDescent="0.25">
      <c r="A808" s="387" t="s">
        <v>295</v>
      </c>
      <c r="B808" s="388">
        <f>COUNT(B812:B816)</f>
        <v>5</v>
      </c>
      <c r="C808" s="287"/>
      <c r="D808" s="287"/>
      <c r="E808" s="287"/>
      <c r="F808" s="287"/>
    </row>
    <row r="809" spans="1:12" x14ac:dyDescent="0.25">
      <c r="A809" s="387" t="s">
        <v>281</v>
      </c>
      <c r="B809" s="388">
        <f>STDEV(B812:B816)</f>
        <v>9.093660074469458</v>
      </c>
      <c r="C809" s="287"/>
      <c r="D809" s="287"/>
      <c r="E809" s="287"/>
      <c r="F809" s="287"/>
    </row>
    <row r="810" spans="1:12" x14ac:dyDescent="0.25">
      <c r="A810" s="387" t="s">
        <v>279</v>
      </c>
      <c r="B810" s="388">
        <f>AVERAGE(B812:B816)</f>
        <v>15.606100000000001</v>
      </c>
      <c r="C810" s="287"/>
      <c r="D810" s="287"/>
      <c r="E810" s="287"/>
      <c r="F810" s="287"/>
    </row>
    <row r="811" spans="1:12" ht="15.75" thickBot="1" x14ac:dyDescent="0.3">
      <c r="A811" s="389" t="s">
        <v>283</v>
      </c>
      <c r="B811" s="390">
        <f>CONFIDENCE(0.05,B809,B808)</f>
        <v>7.9707980316137927</v>
      </c>
      <c r="C811" s="287"/>
      <c r="D811" s="287"/>
      <c r="E811" s="287"/>
      <c r="F811" s="287"/>
    </row>
    <row r="812" spans="1:12" x14ac:dyDescent="0.25">
      <c r="A812" s="391" t="s">
        <v>1233</v>
      </c>
      <c r="B812" s="392">
        <v>11.500499999999999</v>
      </c>
      <c r="C812" s="393" t="s">
        <v>1040</v>
      </c>
      <c r="D812" s="287" t="s">
        <v>1049</v>
      </c>
      <c r="E812" s="287"/>
      <c r="F812" s="287"/>
      <c r="I812" s="71"/>
      <c r="J812" s="71"/>
      <c r="K812" s="71"/>
      <c r="L812" s="71"/>
    </row>
    <row r="813" spans="1:12" x14ac:dyDescent="0.25">
      <c r="A813" s="387" t="s">
        <v>1234</v>
      </c>
      <c r="B813" s="396">
        <v>9.4</v>
      </c>
      <c r="C813" s="395" t="s">
        <v>1040</v>
      </c>
      <c r="D813" s="287" t="s">
        <v>1051</v>
      </c>
      <c r="E813" s="287"/>
      <c r="F813" s="287"/>
      <c r="I813" s="71"/>
      <c r="J813" s="71"/>
      <c r="K813" s="71"/>
      <c r="L813" s="71"/>
    </row>
    <row r="814" spans="1:12" x14ac:dyDescent="0.25">
      <c r="A814" s="387" t="s">
        <v>1235</v>
      </c>
      <c r="B814" s="396">
        <v>15.5</v>
      </c>
      <c r="C814" s="395" t="s">
        <v>1040</v>
      </c>
      <c r="D814" s="287" t="s">
        <v>1132</v>
      </c>
      <c r="E814" s="287"/>
      <c r="F814" s="287"/>
      <c r="I814" s="71"/>
      <c r="J814" s="71"/>
      <c r="K814" s="71"/>
      <c r="L814" s="71"/>
    </row>
    <row r="815" spans="1:12" x14ac:dyDescent="0.25">
      <c r="A815" s="387" t="s">
        <v>1236</v>
      </c>
      <c r="B815" s="396">
        <v>10.3</v>
      </c>
      <c r="C815" s="395" t="s">
        <v>1040</v>
      </c>
      <c r="D815" s="287" t="s">
        <v>1090</v>
      </c>
      <c r="E815" s="287"/>
      <c r="F815" s="287"/>
      <c r="I815" s="71"/>
      <c r="J815" s="71"/>
      <c r="K815" s="71"/>
      <c r="L815" s="71"/>
    </row>
    <row r="816" spans="1:12" ht="15.75" thickBot="1" x14ac:dyDescent="0.3">
      <c r="A816" s="389" t="s">
        <v>1237</v>
      </c>
      <c r="B816" s="399">
        <v>31.33</v>
      </c>
      <c r="C816" s="403" t="s">
        <v>1040</v>
      </c>
      <c r="D816" s="287" t="s">
        <v>1056</v>
      </c>
      <c r="E816" s="287" t="s">
        <v>1057</v>
      </c>
      <c r="F816" s="287"/>
    </row>
    <row r="817" spans="1:12" ht="15.75" thickBot="1" x14ac:dyDescent="0.3">
      <c r="A817" s="287"/>
      <c r="B817" s="384"/>
      <c r="C817" s="287"/>
      <c r="D817" s="287"/>
      <c r="E817" s="287"/>
      <c r="F817" s="287"/>
      <c r="I817" s="71"/>
      <c r="J817" s="71"/>
      <c r="K817" s="71"/>
      <c r="L817" s="71"/>
    </row>
    <row r="818" spans="1:12" x14ac:dyDescent="0.25">
      <c r="A818" s="385" t="s">
        <v>1238</v>
      </c>
      <c r="B818" s="386">
        <f>B821</f>
        <v>17.399700000000003</v>
      </c>
      <c r="C818" s="287"/>
      <c r="D818" s="287"/>
      <c r="E818" s="287"/>
      <c r="F818" s="287"/>
      <c r="I818" s="71"/>
      <c r="J818" s="71"/>
      <c r="K818" s="71"/>
      <c r="L818" s="71"/>
    </row>
    <row r="819" spans="1:12" x14ac:dyDescent="0.25">
      <c r="A819" s="387" t="s">
        <v>295</v>
      </c>
      <c r="B819" s="388">
        <f>COUNT(B823:B827)</f>
        <v>5</v>
      </c>
      <c r="C819" s="287"/>
      <c r="D819" s="287"/>
      <c r="E819" s="287"/>
      <c r="F819" s="287"/>
      <c r="I819" s="71"/>
      <c r="J819" s="71"/>
      <c r="K819" s="71"/>
      <c r="L819" s="71"/>
    </row>
    <row r="820" spans="1:12" x14ac:dyDescent="0.25">
      <c r="A820" s="387" t="s">
        <v>281</v>
      </c>
      <c r="B820" s="388">
        <f>STDEV(B823:B827)</f>
        <v>8.9396118735658696</v>
      </c>
      <c r="C820" s="287"/>
      <c r="D820" s="287"/>
      <c r="E820" s="287"/>
      <c r="F820" s="287"/>
      <c r="I820" s="71"/>
      <c r="J820" s="71"/>
      <c r="K820" s="71"/>
      <c r="L820" s="71"/>
    </row>
    <row r="821" spans="1:12" x14ac:dyDescent="0.25">
      <c r="A821" s="387" t="s">
        <v>279</v>
      </c>
      <c r="B821" s="388">
        <f>AVERAGE(B823:B827)</f>
        <v>17.399700000000003</v>
      </c>
      <c r="C821" s="287"/>
      <c r="D821" s="287"/>
      <c r="E821" s="287"/>
      <c r="F821" s="287"/>
      <c r="I821" s="71"/>
      <c r="J821" s="71"/>
      <c r="K821" s="71"/>
      <c r="L821" s="71"/>
    </row>
    <row r="822" spans="1:12" ht="15.75" thickBot="1" x14ac:dyDescent="0.3">
      <c r="A822" s="389" t="s">
        <v>283</v>
      </c>
      <c r="B822" s="390">
        <f>CONFIDENCE(0.05,B820,B819)</f>
        <v>7.8357713111865284</v>
      </c>
      <c r="C822" s="287"/>
      <c r="D822" s="287"/>
      <c r="E822" s="287"/>
      <c r="F822" s="287"/>
      <c r="I822" s="71"/>
      <c r="J822" s="71"/>
      <c r="K822" s="71"/>
      <c r="L822" s="71"/>
    </row>
    <row r="823" spans="1:12" x14ac:dyDescent="0.25">
      <c r="A823" s="391" t="s">
        <v>1239</v>
      </c>
      <c r="B823" s="392">
        <v>14.118499999999999</v>
      </c>
      <c r="C823" s="393" t="s">
        <v>1040</v>
      </c>
      <c r="D823" s="287" t="s">
        <v>1049</v>
      </c>
      <c r="E823" s="287"/>
      <c r="F823" s="287"/>
      <c r="I823" s="71"/>
      <c r="J823" s="71"/>
      <c r="K823" s="71"/>
      <c r="L823" s="71"/>
    </row>
    <row r="824" spans="1:12" x14ac:dyDescent="0.25">
      <c r="A824" s="387" t="s">
        <v>1240</v>
      </c>
      <c r="B824" s="396">
        <v>13.6</v>
      </c>
      <c r="C824" s="395" t="s">
        <v>1040</v>
      </c>
      <c r="D824" s="287" t="s">
        <v>1051</v>
      </c>
      <c r="E824" s="287"/>
      <c r="F824" s="287"/>
    </row>
    <row r="825" spans="1:12" x14ac:dyDescent="0.25">
      <c r="A825" s="387" t="s">
        <v>1241</v>
      </c>
      <c r="B825" s="396">
        <v>15</v>
      </c>
      <c r="C825" s="395" t="s">
        <v>1040</v>
      </c>
      <c r="D825" s="287" t="s">
        <v>1090</v>
      </c>
      <c r="E825" s="287"/>
      <c r="F825" s="287"/>
    </row>
    <row r="826" spans="1:12" x14ac:dyDescent="0.25">
      <c r="A826" s="387" t="s">
        <v>1242</v>
      </c>
      <c r="B826" s="396">
        <v>11.1</v>
      </c>
      <c r="C826" s="395" t="s">
        <v>1040</v>
      </c>
      <c r="D826" s="287" t="s">
        <v>89</v>
      </c>
      <c r="E826" s="287"/>
      <c r="F826" s="287"/>
      <c r="I826" s="71"/>
      <c r="J826" s="71"/>
      <c r="K826" s="71"/>
      <c r="L826" s="71"/>
    </row>
    <row r="827" spans="1:12" ht="15.75" thickBot="1" x14ac:dyDescent="0.3">
      <c r="A827" s="389" t="s">
        <v>1243</v>
      </c>
      <c r="B827" s="399">
        <v>33.18</v>
      </c>
      <c r="C827" s="403" t="s">
        <v>1040</v>
      </c>
      <c r="D827" s="287" t="s">
        <v>1056</v>
      </c>
      <c r="E827" s="287" t="s">
        <v>1057</v>
      </c>
      <c r="F827" s="287"/>
      <c r="I827" s="71"/>
      <c r="J827" s="71"/>
      <c r="K827" s="71"/>
      <c r="L827" s="71"/>
    </row>
    <row r="828" spans="1:12" ht="15.75" thickBot="1" x14ac:dyDescent="0.3">
      <c r="A828" s="401"/>
      <c r="B828" s="396"/>
      <c r="C828" s="401"/>
      <c r="D828" s="287"/>
      <c r="E828" s="287"/>
      <c r="F828" s="287"/>
      <c r="I828" s="71"/>
      <c r="J828" s="71"/>
      <c r="K828" s="71"/>
      <c r="L828" s="71"/>
    </row>
    <row r="829" spans="1:12" x14ac:dyDescent="0.25">
      <c r="A829" s="391" t="s">
        <v>1244</v>
      </c>
      <c r="B829" s="392">
        <v>17.204000000000001</v>
      </c>
      <c r="C829" s="393" t="s">
        <v>1040</v>
      </c>
      <c r="D829" s="287" t="s">
        <v>1049</v>
      </c>
      <c r="E829" s="287"/>
      <c r="F829" s="287"/>
      <c r="I829" s="71"/>
      <c r="J829" s="71"/>
      <c r="K829" s="71"/>
      <c r="L829" s="71"/>
    </row>
    <row r="830" spans="1:12" x14ac:dyDescent="0.25">
      <c r="A830" s="387" t="s">
        <v>1245</v>
      </c>
      <c r="B830" s="396">
        <v>10.8</v>
      </c>
      <c r="C830" s="395" t="s">
        <v>1040</v>
      </c>
      <c r="D830" s="287" t="s">
        <v>1090</v>
      </c>
      <c r="E830" s="287"/>
      <c r="F830" s="287"/>
      <c r="I830" s="71"/>
      <c r="J830" s="71"/>
      <c r="K830" s="71"/>
      <c r="L830" s="71"/>
    </row>
    <row r="831" spans="1:12" ht="15.75" thickBot="1" x14ac:dyDescent="0.3">
      <c r="A831" s="389" t="s">
        <v>1246</v>
      </c>
      <c r="B831" s="399">
        <v>4.8620000000000001</v>
      </c>
      <c r="C831" s="403" t="s">
        <v>1040</v>
      </c>
      <c r="D831" s="287" t="s">
        <v>1138</v>
      </c>
      <c r="E831" s="287"/>
      <c r="F831" s="287"/>
      <c r="I831" s="71"/>
      <c r="J831" s="71"/>
      <c r="K831" s="71"/>
      <c r="L831" s="71"/>
    </row>
    <row r="832" spans="1:12" x14ac:dyDescent="0.25">
      <c r="A832" s="287"/>
      <c r="B832" s="384"/>
      <c r="C832" s="287"/>
      <c r="D832" s="287"/>
      <c r="E832" s="287"/>
      <c r="F832" s="287"/>
      <c r="I832" s="71"/>
      <c r="J832" s="71"/>
      <c r="K832" s="71"/>
      <c r="L832" s="71"/>
    </row>
    <row r="833" spans="1:12" ht="15.75" thickBot="1" x14ac:dyDescent="0.3">
      <c r="A833" s="383" t="s">
        <v>1247</v>
      </c>
      <c r="B833" s="406"/>
      <c r="C833" s="287"/>
      <c r="D833" s="248"/>
      <c r="E833" s="287"/>
      <c r="F833" s="287"/>
    </row>
    <row r="834" spans="1:12" x14ac:dyDescent="0.25">
      <c r="A834" s="391" t="s">
        <v>1248</v>
      </c>
      <c r="B834" s="392">
        <f>2.19*3.785</f>
        <v>8.2891499999999994</v>
      </c>
      <c r="C834" s="393" t="s">
        <v>1249</v>
      </c>
      <c r="D834" s="287" t="s">
        <v>1049</v>
      </c>
      <c r="E834" s="287"/>
      <c r="F834" s="287"/>
    </row>
    <row r="835" spans="1:12" x14ac:dyDescent="0.25">
      <c r="A835" s="387" t="s">
        <v>1250</v>
      </c>
      <c r="B835" s="396"/>
      <c r="C835" s="395" t="s">
        <v>1040</v>
      </c>
      <c r="D835" s="287" t="s">
        <v>1051</v>
      </c>
      <c r="E835" s="287"/>
      <c r="F835" s="287"/>
      <c r="I835" s="71"/>
      <c r="J835" s="71"/>
      <c r="K835" s="71"/>
      <c r="L835" s="71"/>
    </row>
    <row r="836" spans="1:12" x14ac:dyDescent="0.25">
      <c r="A836" s="387" t="s">
        <v>920</v>
      </c>
      <c r="B836" s="396">
        <f>3.41*3.785</f>
        <v>12.90685</v>
      </c>
      <c r="C836" s="395" t="s">
        <v>1249</v>
      </c>
      <c r="D836" s="287" t="s">
        <v>1049</v>
      </c>
      <c r="E836" s="287"/>
      <c r="F836" s="287"/>
    </row>
    <row r="837" spans="1:12" x14ac:dyDescent="0.25">
      <c r="A837" s="387" t="s">
        <v>1251</v>
      </c>
      <c r="B837" s="396">
        <f>3.84*3.785</f>
        <v>14.5344</v>
      </c>
      <c r="C837" s="395" t="s">
        <v>1249</v>
      </c>
      <c r="D837" s="287" t="s">
        <v>1049</v>
      </c>
      <c r="E837" s="287"/>
      <c r="F837" s="287"/>
      <c r="I837" s="71"/>
      <c r="J837" s="71"/>
      <c r="K837" s="71"/>
      <c r="L837" s="71"/>
    </row>
    <row r="838" spans="1:12" x14ac:dyDescent="0.25">
      <c r="A838" s="387" t="s">
        <v>1252</v>
      </c>
      <c r="B838" s="396" t="s">
        <v>1253</v>
      </c>
      <c r="C838" s="395" t="s">
        <v>1040</v>
      </c>
      <c r="D838" s="287" t="s">
        <v>1051</v>
      </c>
      <c r="E838" s="287"/>
      <c r="F838" s="287"/>
      <c r="I838" s="71"/>
      <c r="J838" s="71"/>
      <c r="K838" s="71"/>
      <c r="L838" s="71"/>
    </row>
    <row r="839" spans="1:12" ht="15.75" thickBot="1" x14ac:dyDescent="0.3">
      <c r="A839" s="389" t="s">
        <v>1254</v>
      </c>
      <c r="B839" s="399">
        <v>5.6</v>
      </c>
      <c r="C839" s="403" t="s">
        <v>1040</v>
      </c>
      <c r="D839" s="287" t="s">
        <v>1090</v>
      </c>
      <c r="E839" s="287"/>
      <c r="F839" s="287"/>
      <c r="I839" s="71"/>
      <c r="J839" s="71"/>
      <c r="K839" s="71"/>
      <c r="L839" s="71"/>
    </row>
    <row r="841" spans="1:12" ht="15.75" thickBot="1" x14ac:dyDescent="0.3">
      <c r="A841" s="97" t="s">
        <v>131</v>
      </c>
      <c r="B841" s="16"/>
      <c r="C841" s="16"/>
      <c r="D841" s="69"/>
      <c r="E841" s="10"/>
      <c r="I841" s="71"/>
      <c r="J841" s="71"/>
      <c r="K841" s="71"/>
      <c r="L841" s="71"/>
    </row>
    <row r="842" spans="1:12" x14ac:dyDescent="0.25">
      <c r="A842" s="17" t="s">
        <v>341</v>
      </c>
      <c r="B842" s="142">
        <f>0.936*2</f>
        <v>1.8720000000000001</v>
      </c>
      <c r="C842" s="18" t="s">
        <v>487</v>
      </c>
      <c r="D842" s="69" t="s">
        <v>443</v>
      </c>
      <c r="E842" s="10"/>
      <c r="I842" s="71"/>
      <c r="J842" s="71"/>
      <c r="K842" s="71"/>
      <c r="L842" s="71"/>
    </row>
    <row r="843" spans="1:12" ht="15.75" thickBot="1" x14ac:dyDescent="0.3">
      <c r="A843" s="27" t="s">
        <v>342</v>
      </c>
      <c r="B843" s="63">
        <v>16.600000000000001</v>
      </c>
      <c r="C843" s="23" t="s">
        <v>487</v>
      </c>
      <c r="D843" s="69" t="s">
        <v>443</v>
      </c>
      <c r="E843" s="10"/>
      <c r="I843" s="71"/>
      <c r="J843" s="71"/>
      <c r="K843" s="71"/>
      <c r="L843" s="71"/>
    </row>
    <row r="844" spans="1:12" x14ac:dyDescent="0.25">
      <c r="A844" s="10"/>
      <c r="B844" s="13"/>
      <c r="C844" s="16"/>
      <c r="D844" s="69"/>
      <c r="E844" s="10"/>
      <c r="I844" s="71"/>
      <c r="J844" s="71"/>
      <c r="K844" s="71"/>
      <c r="L844" s="71"/>
    </row>
    <row r="845" spans="1:12" ht="23.25" x14ac:dyDescent="0.35">
      <c r="A845" s="159" t="s">
        <v>475</v>
      </c>
      <c r="B845" s="71"/>
      <c r="C845" s="71"/>
      <c r="E845" s="71"/>
      <c r="I845" s="71"/>
      <c r="J845" s="71"/>
      <c r="K845" s="71"/>
      <c r="L845" s="71"/>
    </row>
    <row r="846" spans="1:12" ht="15.75" thickBot="1" x14ac:dyDescent="0.3">
      <c r="A846" s="71"/>
      <c r="B846" s="71"/>
      <c r="C846" s="71"/>
      <c r="E846" s="71"/>
      <c r="I846" s="71"/>
      <c r="J846" s="71"/>
      <c r="K846" s="71"/>
      <c r="L846" s="71"/>
    </row>
    <row r="847" spans="1:12" x14ac:dyDescent="0.25">
      <c r="A847" s="39" t="s">
        <v>344</v>
      </c>
      <c r="B847" s="146" t="s">
        <v>34</v>
      </c>
      <c r="C847" s="34" t="s">
        <v>1</v>
      </c>
      <c r="E847" s="71"/>
      <c r="I847" s="71"/>
      <c r="J847" s="71"/>
      <c r="K847" s="71"/>
      <c r="L847" s="71"/>
    </row>
    <row r="848" spans="1:12" x14ac:dyDescent="0.25">
      <c r="A848" s="40" t="s">
        <v>345</v>
      </c>
      <c r="B848" s="147">
        <v>14.73</v>
      </c>
      <c r="C848" s="26" t="s">
        <v>349</v>
      </c>
      <c r="D848" s="203" t="s">
        <v>251</v>
      </c>
      <c r="E848" s="71"/>
      <c r="I848" s="71"/>
      <c r="J848" s="71"/>
      <c r="K848" s="71"/>
      <c r="L848" s="71"/>
    </row>
    <row r="849" spans="1:12" x14ac:dyDescent="0.25">
      <c r="A849" s="40" t="s">
        <v>346</v>
      </c>
      <c r="B849" s="147">
        <v>20.25</v>
      </c>
      <c r="C849" s="26" t="s">
        <v>349</v>
      </c>
      <c r="D849" s="203" t="s">
        <v>251</v>
      </c>
      <c r="E849" s="71"/>
      <c r="I849" s="71"/>
      <c r="J849" s="71"/>
      <c r="K849" s="71"/>
      <c r="L849" s="71"/>
    </row>
    <row r="850" spans="1:12" ht="15.75" thickBot="1" x14ac:dyDescent="0.3">
      <c r="A850" s="21" t="s">
        <v>347</v>
      </c>
      <c r="B850" s="148">
        <v>1.67E-2</v>
      </c>
      <c r="C850" s="28" t="s">
        <v>348</v>
      </c>
      <c r="D850" s="203" t="s">
        <v>251</v>
      </c>
      <c r="E850" s="71"/>
      <c r="I850" s="71"/>
      <c r="J850" s="71"/>
      <c r="K850" s="71"/>
      <c r="L850" s="71"/>
    </row>
    <row r="851" spans="1:12" x14ac:dyDescent="0.25">
      <c r="A851" s="71"/>
      <c r="B851" s="71"/>
      <c r="C851" s="71"/>
      <c r="E851" s="71"/>
      <c r="I851" s="71"/>
      <c r="J851" s="71"/>
      <c r="K851" s="71"/>
      <c r="L851" s="71"/>
    </row>
    <row r="852" spans="1:12" ht="15.75" thickBot="1" x14ac:dyDescent="0.3">
      <c r="A852" s="97" t="s">
        <v>228</v>
      </c>
      <c r="B852" s="97" t="s">
        <v>34</v>
      </c>
      <c r="C852" s="97" t="s">
        <v>4</v>
      </c>
      <c r="D852" s="53" t="s">
        <v>3</v>
      </c>
      <c r="E852" s="71"/>
      <c r="I852" s="71"/>
      <c r="J852" s="71"/>
      <c r="K852" s="71"/>
      <c r="L852" s="71"/>
    </row>
    <row r="853" spans="1:12" x14ac:dyDescent="0.25">
      <c r="A853" s="17" t="s">
        <v>30</v>
      </c>
      <c r="B853" s="60">
        <v>1</v>
      </c>
      <c r="C853" s="30" t="s">
        <v>224</v>
      </c>
      <c r="D853" s="203" t="s">
        <v>229</v>
      </c>
      <c r="E853" s="71"/>
      <c r="I853" s="71"/>
      <c r="J853" s="71"/>
      <c r="K853" s="71"/>
      <c r="L853" s="71"/>
    </row>
    <row r="854" spans="1:12" x14ac:dyDescent="0.25">
      <c r="A854" s="19" t="s">
        <v>186</v>
      </c>
      <c r="B854" s="62">
        <v>1.3</v>
      </c>
      <c r="C854" s="26" t="s">
        <v>225</v>
      </c>
      <c r="D854" s="203" t="s">
        <v>229</v>
      </c>
      <c r="E854" s="71"/>
    </row>
    <row r="855" spans="1:12" ht="15.75" thickBot="1" x14ac:dyDescent="0.3">
      <c r="A855" s="27" t="s">
        <v>445</v>
      </c>
      <c r="B855" s="63">
        <v>1</v>
      </c>
      <c r="C855" s="28" t="s">
        <v>266</v>
      </c>
      <c r="D855" s="203" t="s">
        <v>265</v>
      </c>
      <c r="E855" s="71"/>
    </row>
    <row r="856" spans="1:12" x14ac:dyDescent="0.25">
      <c r="I856" s="71"/>
      <c r="J856" s="71"/>
      <c r="K856" s="71"/>
      <c r="L856" s="71"/>
    </row>
    <row r="857" spans="1:12" ht="23.25" x14ac:dyDescent="0.35">
      <c r="A857" s="159" t="s">
        <v>1034</v>
      </c>
      <c r="I857" s="71"/>
      <c r="J857" s="71"/>
      <c r="K857" s="71"/>
      <c r="L857" s="71"/>
    </row>
    <row r="858" spans="1:12" ht="15.75" x14ac:dyDescent="0.25">
      <c r="A858" s="71" t="s">
        <v>1031</v>
      </c>
      <c r="B858" s="380">
        <v>4.7499999999999999E-3</v>
      </c>
      <c r="C858" s="71" t="s">
        <v>1032</v>
      </c>
      <c r="D858" s="379" t="s">
        <v>1033</v>
      </c>
      <c r="E858" s="71"/>
      <c r="I858" s="71"/>
      <c r="J858" s="71"/>
      <c r="K858" s="71"/>
      <c r="L858" s="71"/>
    </row>
    <row r="859" spans="1:12" ht="15.75" x14ac:dyDescent="0.25">
      <c r="A859" s="71" t="s">
        <v>1035</v>
      </c>
      <c r="B859" s="381">
        <v>3.5000000000000001E-3</v>
      </c>
      <c r="C859" s="71" t="s">
        <v>1032</v>
      </c>
      <c r="D859" s="382" t="s">
        <v>1036</v>
      </c>
      <c r="I859" s="71"/>
      <c r="J859" s="71"/>
      <c r="K859" s="71"/>
      <c r="L859" s="71"/>
    </row>
    <row r="860" spans="1:12" x14ac:dyDescent="0.25">
      <c r="I860" s="71"/>
      <c r="J860" s="71"/>
      <c r="K860" s="71"/>
      <c r="L860" s="71"/>
    </row>
    <row r="861" spans="1:12" x14ac:dyDescent="0.25">
      <c r="I861" s="71"/>
      <c r="J861" s="71"/>
      <c r="K861" s="71"/>
      <c r="L861" s="71"/>
    </row>
    <row r="862" spans="1:12" x14ac:dyDescent="0.25">
      <c r="I862" s="71"/>
      <c r="J862" s="71"/>
      <c r="K862" s="71"/>
      <c r="L862" s="71"/>
    </row>
    <row r="863" spans="1:12" x14ac:dyDescent="0.25">
      <c r="I863" s="71"/>
      <c r="J863" s="71"/>
      <c r="K863" s="71"/>
      <c r="L863" s="71"/>
    </row>
    <row r="864" spans="1:12" x14ac:dyDescent="0.25">
      <c r="I864" s="71"/>
      <c r="J864" s="71"/>
      <c r="K864" s="71"/>
      <c r="L864" s="71"/>
    </row>
    <row r="867" spans="9:12" x14ac:dyDescent="0.25">
      <c r="I867" s="71"/>
      <c r="J867" s="71"/>
      <c r="K867" s="71"/>
      <c r="L867" s="71"/>
    </row>
    <row r="868" spans="9:12" x14ac:dyDescent="0.25">
      <c r="I868" s="71"/>
      <c r="J868" s="71"/>
      <c r="K868" s="71"/>
      <c r="L868" s="71"/>
    </row>
    <row r="869" spans="9:12" x14ac:dyDescent="0.25">
      <c r="I869" s="71"/>
      <c r="J869" s="71"/>
      <c r="K869" s="71"/>
      <c r="L869" s="71"/>
    </row>
    <row r="870" spans="9:12" x14ac:dyDescent="0.25">
      <c r="I870" s="71"/>
      <c r="J870" s="71"/>
      <c r="K870" s="71"/>
      <c r="L870" s="71"/>
    </row>
    <row r="874" spans="9:12" x14ac:dyDescent="0.25">
      <c r="I874" s="71"/>
      <c r="J874" s="71"/>
      <c r="K874" s="71"/>
      <c r="L874" s="71"/>
    </row>
    <row r="875" spans="9:12" x14ac:dyDescent="0.25">
      <c r="I875" s="71"/>
      <c r="J875" s="71"/>
      <c r="K875" s="71"/>
      <c r="L875" s="71"/>
    </row>
    <row r="876" spans="9:12" x14ac:dyDescent="0.25">
      <c r="I876" s="71"/>
      <c r="J876" s="71"/>
      <c r="K876" s="71"/>
      <c r="L876" s="71"/>
    </row>
    <row r="877" spans="9:12" x14ac:dyDescent="0.25">
      <c r="I877" s="71"/>
      <c r="J877" s="71"/>
      <c r="K877" s="71"/>
      <c r="L877" s="71"/>
    </row>
    <row r="879" spans="9:12" x14ac:dyDescent="0.25">
      <c r="I879" s="71"/>
      <c r="J879" s="71"/>
      <c r="K879" s="71"/>
      <c r="L879" s="71"/>
    </row>
    <row r="880" spans="9:12" x14ac:dyDescent="0.25">
      <c r="I880" s="71"/>
      <c r="J880" s="71"/>
      <c r="K880" s="71"/>
      <c r="L880" s="71"/>
    </row>
    <row r="881" spans="9:12" x14ac:dyDescent="0.25">
      <c r="I881" s="71"/>
      <c r="J881" s="71"/>
      <c r="K881" s="71"/>
      <c r="L881" s="71"/>
    </row>
    <row r="882" spans="9:12" x14ac:dyDescent="0.25">
      <c r="I882" s="71"/>
      <c r="J882" s="71"/>
      <c r="K882" s="71"/>
      <c r="L882" s="71"/>
    </row>
    <row r="883" spans="9:12" x14ac:dyDescent="0.25">
      <c r="I883" s="71"/>
      <c r="J883" s="71"/>
      <c r="K883" s="71"/>
      <c r="L883" s="71"/>
    </row>
    <row r="884" spans="9:12" x14ac:dyDescent="0.25">
      <c r="I884" s="71"/>
      <c r="J884" s="71"/>
      <c r="K884" s="71"/>
      <c r="L884" s="71"/>
    </row>
    <row r="885" spans="9:12" x14ac:dyDescent="0.25">
      <c r="I885" s="71"/>
      <c r="J885" s="71"/>
      <c r="K885" s="71"/>
      <c r="L885" s="71"/>
    </row>
    <row r="886" spans="9:12" x14ac:dyDescent="0.25">
      <c r="I886" s="71"/>
      <c r="J886" s="71"/>
      <c r="K886" s="71"/>
      <c r="L886" s="71"/>
    </row>
    <row r="887" spans="9:12" x14ac:dyDescent="0.25">
      <c r="I887" s="71"/>
      <c r="J887" s="71"/>
      <c r="K887" s="71"/>
      <c r="L887" s="71"/>
    </row>
    <row r="890" spans="9:12" x14ac:dyDescent="0.25">
      <c r="I890" s="71"/>
      <c r="J890" s="71"/>
      <c r="K890" s="71"/>
      <c r="L890" s="71"/>
    </row>
    <row r="891" spans="9:12" x14ac:dyDescent="0.25">
      <c r="I891" s="71"/>
      <c r="J891" s="71"/>
      <c r="K891" s="71"/>
      <c r="L891" s="71"/>
    </row>
    <row r="892" spans="9:12" x14ac:dyDescent="0.25">
      <c r="I892" s="71"/>
      <c r="J892" s="71"/>
      <c r="K892" s="71"/>
      <c r="L892" s="71"/>
    </row>
    <row r="893" spans="9:12" x14ac:dyDescent="0.25">
      <c r="I893" s="71"/>
      <c r="J893" s="71"/>
      <c r="K893" s="71"/>
      <c r="L893" s="71"/>
    </row>
    <row r="894" spans="9:12" x14ac:dyDescent="0.25">
      <c r="I894" s="71"/>
      <c r="J894" s="71"/>
      <c r="K894" s="71"/>
      <c r="L894" s="71"/>
    </row>
    <row r="895" spans="9:12" x14ac:dyDescent="0.25">
      <c r="I895" s="71"/>
      <c r="J895" s="71"/>
      <c r="K895" s="71"/>
      <c r="L895" s="71"/>
    </row>
    <row r="896" spans="9:12" x14ac:dyDescent="0.25">
      <c r="I896" s="71"/>
      <c r="J896" s="71"/>
      <c r="K896" s="71"/>
      <c r="L896" s="71"/>
    </row>
    <row r="897" spans="9:12" x14ac:dyDescent="0.25">
      <c r="I897" s="71"/>
      <c r="J897" s="71"/>
      <c r="K897" s="71"/>
      <c r="L897" s="71"/>
    </row>
    <row r="898" spans="9:12" x14ac:dyDescent="0.25">
      <c r="I898" s="71"/>
      <c r="J898" s="71"/>
      <c r="K898" s="71"/>
      <c r="L898" s="71"/>
    </row>
    <row r="904" spans="9:12" x14ac:dyDescent="0.25">
      <c r="I904" s="71"/>
      <c r="J904" s="71"/>
      <c r="K904" s="71"/>
      <c r="L904" s="71"/>
    </row>
  </sheetData>
  <pageMargins left="0.511811024" right="0.511811024" top="0.78740157499999996" bottom="0.78740157499999996" header="0.31496062000000002" footer="0.31496062000000002"/>
  <pageSetup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Q412"/>
  <sheetViews>
    <sheetView showGridLines="0" topLeftCell="A40" zoomScale="90" zoomScaleNormal="90" workbookViewId="0">
      <selection activeCell="D8" sqref="D8"/>
    </sheetView>
  </sheetViews>
  <sheetFormatPr defaultRowHeight="15" x14ac:dyDescent="0.25"/>
  <cols>
    <col min="1" max="1" width="33.28515625" style="50" customWidth="1"/>
    <col min="2" max="2" width="10.85546875" style="50" bestFit="1" customWidth="1"/>
    <col min="3" max="3" width="10.85546875" style="50" customWidth="1"/>
    <col min="4" max="4" width="9.140625" style="50"/>
  </cols>
  <sheetData>
    <row r="1" spans="1:17" s="71" customFormat="1" ht="23.25" x14ac:dyDescent="0.35">
      <c r="A1" s="159" t="s">
        <v>447</v>
      </c>
      <c r="B1" s="50"/>
      <c r="C1" s="50"/>
      <c r="D1" s="50"/>
    </row>
    <row r="2" spans="1:17" ht="16.5" thickBot="1" x14ac:dyDescent="0.3">
      <c r="A2" s="1" t="s">
        <v>382</v>
      </c>
      <c r="F2" s="366"/>
    </row>
    <row r="3" spans="1:17" ht="15.75" x14ac:dyDescent="0.25">
      <c r="A3" s="32" t="s">
        <v>282</v>
      </c>
      <c r="B3" s="166">
        <f>B6</f>
        <v>54.816453846153848</v>
      </c>
      <c r="C3" s="78"/>
      <c r="D3" s="341"/>
      <c r="E3" s="341"/>
      <c r="F3" s="341"/>
      <c r="G3" s="71"/>
      <c r="H3" s="71"/>
      <c r="I3" s="71"/>
      <c r="J3" s="71"/>
      <c r="K3" s="71"/>
      <c r="L3" s="71"/>
      <c r="M3" s="71"/>
      <c r="N3" s="71"/>
      <c r="O3" s="71"/>
      <c r="P3" s="71"/>
      <c r="Q3" s="71"/>
    </row>
    <row r="4" spans="1:17" ht="15.75" x14ac:dyDescent="0.25">
      <c r="A4" s="48" t="s">
        <v>280</v>
      </c>
      <c r="B4" s="289">
        <f>COUNT(B8:B20)</f>
        <v>13</v>
      </c>
      <c r="C4" s="78"/>
      <c r="E4" s="341"/>
      <c r="F4" s="71"/>
      <c r="G4" s="71"/>
      <c r="H4" s="71"/>
      <c r="I4" s="71"/>
      <c r="J4" s="71"/>
      <c r="K4" s="71"/>
      <c r="L4" s="71"/>
      <c r="M4" s="71"/>
      <c r="N4" s="71"/>
      <c r="O4" s="71"/>
      <c r="P4" s="71"/>
      <c r="Q4" s="71"/>
    </row>
    <row r="5" spans="1:17" x14ac:dyDescent="0.25">
      <c r="A5" s="48" t="s">
        <v>281</v>
      </c>
      <c r="B5" s="343">
        <f>STDEV(B8:B20)</f>
        <v>10.355552913502894</v>
      </c>
      <c r="C5" s="78"/>
    </row>
    <row r="6" spans="1:17" x14ac:dyDescent="0.25">
      <c r="A6" s="48" t="s">
        <v>279</v>
      </c>
      <c r="B6" s="343">
        <f>AVERAGE(B8:B20)</f>
        <v>54.816453846153848</v>
      </c>
      <c r="E6" s="71"/>
      <c r="F6" s="71"/>
      <c r="G6" s="71"/>
      <c r="H6" s="71"/>
      <c r="I6" s="71"/>
      <c r="J6" s="71"/>
      <c r="K6" s="71"/>
      <c r="L6" s="71"/>
      <c r="M6" s="71"/>
      <c r="N6" s="71"/>
      <c r="O6" s="71"/>
      <c r="P6" s="71"/>
      <c r="Q6" s="71"/>
    </row>
    <row r="7" spans="1:17" ht="15.75" thickBot="1" x14ac:dyDescent="0.3">
      <c r="A7" s="48" t="s">
        <v>283</v>
      </c>
      <c r="B7" s="343">
        <f>CONFIDENCE(0.05,B5,B4)</f>
        <v>5.6292392479850637</v>
      </c>
      <c r="C7" s="78"/>
    </row>
    <row r="8" spans="1:17" s="71" customFormat="1" x14ac:dyDescent="0.25">
      <c r="A8" s="184" t="s">
        <v>276</v>
      </c>
      <c r="B8" s="187">
        <v>43.613900000000001</v>
      </c>
      <c r="C8" s="241" t="s">
        <v>5</v>
      </c>
      <c r="D8" s="203" t="s">
        <v>808</v>
      </c>
      <c r="E8" s="8"/>
    </row>
    <row r="9" spans="1:17" s="71" customFormat="1" x14ac:dyDescent="0.25">
      <c r="A9" s="48" t="s">
        <v>277</v>
      </c>
      <c r="B9" s="122">
        <v>75</v>
      </c>
      <c r="C9" s="308" t="s">
        <v>5</v>
      </c>
      <c r="D9" s="203" t="s">
        <v>811</v>
      </c>
    </row>
    <row r="10" spans="1:17" s="71" customFormat="1" x14ac:dyDescent="0.25">
      <c r="A10" s="48" t="s">
        <v>407</v>
      </c>
      <c r="B10" s="122">
        <v>58.15</v>
      </c>
      <c r="C10" s="308" t="s">
        <v>5</v>
      </c>
      <c r="D10" s="203" t="s">
        <v>810</v>
      </c>
    </row>
    <row r="11" spans="1:17" s="71" customFormat="1" x14ac:dyDescent="0.25">
      <c r="A11" s="48" t="s">
        <v>28</v>
      </c>
      <c r="B11" s="122">
        <v>60</v>
      </c>
      <c r="C11" s="296" t="s">
        <v>5</v>
      </c>
      <c r="D11" s="203" t="s">
        <v>809</v>
      </c>
    </row>
    <row r="12" spans="1:17" x14ac:dyDescent="0.25">
      <c r="A12" s="86" t="s">
        <v>29</v>
      </c>
      <c r="B12" s="69">
        <v>58.3</v>
      </c>
      <c r="C12" s="296" t="s">
        <v>5</v>
      </c>
      <c r="D12" s="203" t="s">
        <v>273</v>
      </c>
    </row>
    <row r="13" spans="1:17" x14ac:dyDescent="0.25">
      <c r="A13" s="48" t="s">
        <v>33</v>
      </c>
      <c r="B13" s="297">
        <v>45</v>
      </c>
      <c r="C13" s="295" t="s">
        <v>5</v>
      </c>
      <c r="D13" s="50" t="s">
        <v>796</v>
      </c>
    </row>
    <row r="14" spans="1:17" x14ac:dyDescent="0.25">
      <c r="A14" s="48" t="s">
        <v>43</v>
      </c>
      <c r="B14" s="122">
        <v>40.299999999999997</v>
      </c>
      <c r="C14" s="296" t="s">
        <v>5</v>
      </c>
      <c r="D14" s="203" t="s">
        <v>339</v>
      </c>
    </row>
    <row r="15" spans="1:17" s="8" customFormat="1" x14ac:dyDescent="0.25">
      <c r="A15" s="48" t="s">
        <v>48</v>
      </c>
      <c r="B15" s="122">
        <v>59.4</v>
      </c>
      <c r="C15" s="296" t="s">
        <v>5</v>
      </c>
      <c r="D15" s="203" t="s">
        <v>242</v>
      </c>
    </row>
    <row r="16" spans="1:17" x14ac:dyDescent="0.25">
      <c r="A16" s="86" t="s">
        <v>49</v>
      </c>
      <c r="B16" s="375">
        <v>40.61</v>
      </c>
      <c r="C16" s="296" t="s">
        <v>5</v>
      </c>
      <c r="D16" s="203" t="s">
        <v>208</v>
      </c>
      <c r="E16" s="8"/>
      <c r="F16" s="8"/>
      <c r="G16" s="8"/>
      <c r="H16" s="8"/>
      <c r="I16" s="8"/>
      <c r="J16" s="8"/>
      <c r="K16" s="8"/>
      <c r="L16" s="8"/>
      <c r="M16" s="8"/>
      <c r="N16" s="8"/>
      <c r="O16" s="8"/>
      <c r="P16" s="8"/>
      <c r="Q16" s="8"/>
    </row>
    <row r="17" spans="1:4" x14ac:dyDescent="0.25">
      <c r="A17" s="48" t="s">
        <v>278</v>
      </c>
      <c r="B17" s="36">
        <v>50.89</v>
      </c>
      <c r="C17" s="295" t="s">
        <v>5</v>
      </c>
      <c r="D17" s="203" t="s">
        <v>274</v>
      </c>
    </row>
    <row r="18" spans="1:4" x14ac:dyDescent="0.25">
      <c r="A18" s="48" t="s">
        <v>51</v>
      </c>
      <c r="B18" s="36">
        <v>57.46</v>
      </c>
      <c r="C18" s="295" t="s">
        <v>5</v>
      </c>
      <c r="D18" s="50" t="s">
        <v>89</v>
      </c>
    </row>
    <row r="19" spans="1:4" x14ac:dyDescent="0.25">
      <c r="A19" s="48" t="s">
        <v>812</v>
      </c>
      <c r="B19" s="36">
        <v>56.95</v>
      </c>
      <c r="C19" s="295" t="s">
        <v>5</v>
      </c>
      <c r="D19" s="203" t="s">
        <v>804</v>
      </c>
    </row>
    <row r="20" spans="1:4" ht="15.75" thickBot="1" x14ac:dyDescent="0.3">
      <c r="A20" s="89" t="s">
        <v>813</v>
      </c>
      <c r="B20" s="138">
        <v>66.94</v>
      </c>
      <c r="C20" s="298" t="s">
        <v>5</v>
      </c>
      <c r="D20" s="203" t="s">
        <v>337</v>
      </c>
    </row>
    <row r="21" spans="1:4" s="71" customFormat="1" x14ac:dyDescent="0.25">
      <c r="A21" s="49"/>
      <c r="B21" s="36"/>
      <c r="C21" s="299"/>
      <c r="D21" s="203"/>
    </row>
    <row r="22" spans="1:4" s="71" customFormat="1" x14ac:dyDescent="0.25">
      <c r="A22" s="103" t="s">
        <v>1006</v>
      </c>
      <c r="B22" s="36"/>
      <c r="C22" s="299"/>
      <c r="D22" s="203"/>
    </row>
    <row r="23" spans="1:4" s="71" customFormat="1" x14ac:dyDescent="0.25">
      <c r="A23" s="49"/>
      <c r="B23" s="36"/>
      <c r="C23" s="299"/>
      <c r="D23" s="203"/>
    </row>
    <row r="24" spans="1:4" s="71" customFormat="1" x14ac:dyDescent="0.25">
      <c r="A24" s="103" t="s">
        <v>837</v>
      </c>
      <c r="B24" s="36"/>
      <c r="C24" s="299"/>
      <c r="D24" s="203"/>
    </row>
    <row r="25" spans="1:4" s="71" customFormat="1" x14ac:dyDescent="0.25">
      <c r="A25" s="69" t="s">
        <v>838</v>
      </c>
      <c r="B25" s="36">
        <v>57.62</v>
      </c>
      <c r="C25" s="299" t="s">
        <v>834</v>
      </c>
      <c r="D25" s="203" t="s">
        <v>833</v>
      </c>
    </row>
    <row r="26" spans="1:4" s="71" customFormat="1" x14ac:dyDescent="0.25">
      <c r="A26" s="69" t="s">
        <v>866</v>
      </c>
      <c r="B26" s="36">
        <v>43.61</v>
      </c>
      <c r="C26" s="299" t="s">
        <v>834</v>
      </c>
      <c r="D26" s="203" t="s">
        <v>808</v>
      </c>
    </row>
    <row r="27" spans="1:4" s="71" customFormat="1" x14ac:dyDescent="0.25">
      <c r="A27" s="69" t="s">
        <v>867</v>
      </c>
      <c r="B27" s="49">
        <v>58.3</v>
      </c>
      <c r="C27" s="299" t="s">
        <v>834</v>
      </c>
      <c r="D27" s="203" t="s">
        <v>273</v>
      </c>
    </row>
    <row r="28" spans="1:4" s="71" customFormat="1" x14ac:dyDescent="0.25">
      <c r="A28" s="69" t="s">
        <v>869</v>
      </c>
      <c r="B28" s="122">
        <v>34.5</v>
      </c>
      <c r="C28" s="299" t="s">
        <v>834</v>
      </c>
      <c r="D28" s="203" t="s">
        <v>870</v>
      </c>
    </row>
    <row r="29" spans="1:4" s="71" customFormat="1" x14ac:dyDescent="0.25">
      <c r="A29" s="69" t="s">
        <v>873</v>
      </c>
      <c r="B29" s="122">
        <v>39</v>
      </c>
      <c r="C29" s="299" t="s">
        <v>834</v>
      </c>
      <c r="D29" s="203" t="s">
        <v>870</v>
      </c>
    </row>
    <row r="30" spans="1:4" s="71" customFormat="1" x14ac:dyDescent="0.25">
      <c r="A30" s="69" t="s">
        <v>895</v>
      </c>
      <c r="B30" s="122">
        <v>33.9</v>
      </c>
      <c r="C30" s="299" t="s">
        <v>834</v>
      </c>
      <c r="D30" s="203" t="s">
        <v>896</v>
      </c>
    </row>
    <row r="31" spans="1:4" s="71" customFormat="1" x14ac:dyDescent="0.25">
      <c r="A31" s="69" t="s">
        <v>941</v>
      </c>
      <c r="B31" s="122">
        <f>41.5*17/14</f>
        <v>50.392857142857146</v>
      </c>
      <c r="C31" s="299" t="s">
        <v>834</v>
      </c>
      <c r="D31" s="203" t="s">
        <v>942</v>
      </c>
    </row>
    <row r="32" spans="1:4" s="71" customFormat="1" x14ac:dyDescent="0.25">
      <c r="A32" s="69" t="s">
        <v>925</v>
      </c>
      <c r="B32" s="122">
        <f>((28.8+31.5)/2)*(14/17)</f>
        <v>24.829411764705881</v>
      </c>
      <c r="C32" s="299" t="s">
        <v>834</v>
      </c>
      <c r="D32" s="203" t="s">
        <v>926</v>
      </c>
    </row>
    <row r="33" spans="1:6" s="71" customFormat="1" x14ac:dyDescent="0.25">
      <c r="A33" s="69" t="s">
        <v>927</v>
      </c>
      <c r="B33" s="122">
        <v>36.9</v>
      </c>
      <c r="C33" s="299" t="s">
        <v>834</v>
      </c>
      <c r="D33" s="203" t="s">
        <v>926</v>
      </c>
    </row>
    <row r="34" spans="1:6" s="71" customFormat="1" x14ac:dyDescent="0.25">
      <c r="A34" s="69" t="s">
        <v>928</v>
      </c>
      <c r="B34" s="49"/>
      <c r="D34" s="203" t="s">
        <v>931</v>
      </c>
    </row>
    <row r="35" spans="1:6" s="71" customFormat="1" x14ac:dyDescent="0.25">
      <c r="A35" s="69" t="s">
        <v>1014</v>
      </c>
      <c r="B35" s="49">
        <f>(55+65)/2</f>
        <v>60</v>
      </c>
      <c r="C35" s="346" t="s">
        <v>834</v>
      </c>
      <c r="D35" s="203" t="s">
        <v>1015</v>
      </c>
    </row>
    <row r="36" spans="1:6" s="71" customFormat="1" x14ac:dyDescent="0.25">
      <c r="A36" s="69"/>
      <c r="B36" s="49"/>
      <c r="D36" s="203"/>
    </row>
    <row r="37" spans="1:6" s="71" customFormat="1" x14ac:dyDescent="0.25">
      <c r="A37" s="103" t="s">
        <v>836</v>
      </c>
      <c r="B37" s="36"/>
      <c r="C37" s="299"/>
      <c r="D37" s="203"/>
    </row>
    <row r="38" spans="1:6" s="71" customFormat="1" x14ac:dyDescent="0.25">
      <c r="A38" s="69" t="s">
        <v>839</v>
      </c>
      <c r="B38" s="36">
        <v>76.14</v>
      </c>
      <c r="C38" s="299" t="s">
        <v>834</v>
      </c>
      <c r="D38" s="203" t="s">
        <v>833</v>
      </c>
    </row>
    <row r="39" spans="1:6" s="71" customFormat="1" x14ac:dyDescent="0.25">
      <c r="A39" s="69" t="s">
        <v>875</v>
      </c>
      <c r="B39" s="36">
        <v>48</v>
      </c>
      <c r="C39" s="299" t="s">
        <v>834</v>
      </c>
      <c r="D39" s="203" t="s">
        <v>870</v>
      </c>
    </row>
    <row r="40" spans="1:6" s="71" customFormat="1" x14ac:dyDescent="0.25">
      <c r="A40" s="69" t="s">
        <v>943</v>
      </c>
      <c r="B40" s="36">
        <v>41.7</v>
      </c>
      <c r="C40" s="299" t="s">
        <v>834</v>
      </c>
      <c r="D40" s="203" t="s">
        <v>870</v>
      </c>
    </row>
    <row r="41" spans="1:6" s="71" customFormat="1" x14ac:dyDescent="0.25">
      <c r="A41" s="69" t="s">
        <v>944</v>
      </c>
      <c r="B41" s="36">
        <f>31.47/0.46</f>
        <v>68.41304347826086</v>
      </c>
      <c r="C41" s="299" t="s">
        <v>834</v>
      </c>
      <c r="D41" s="203" t="s">
        <v>942</v>
      </c>
    </row>
    <row r="42" spans="1:6" s="71" customFormat="1" x14ac:dyDescent="0.25">
      <c r="A42" s="69" t="s">
        <v>1013</v>
      </c>
      <c r="B42" s="36">
        <v>77.8</v>
      </c>
      <c r="C42" s="299" t="s">
        <v>834</v>
      </c>
      <c r="D42" s="203" t="s">
        <v>1012</v>
      </c>
    </row>
    <row r="43" spans="1:6" s="71" customFormat="1" x14ac:dyDescent="0.25">
      <c r="A43" s="69"/>
      <c r="B43" s="36"/>
      <c r="C43" s="299"/>
      <c r="D43" s="203"/>
    </row>
    <row r="44" spans="1:6" s="71" customFormat="1" x14ac:dyDescent="0.25">
      <c r="A44" s="103" t="s">
        <v>835</v>
      </c>
      <c r="B44" s="36"/>
      <c r="C44" s="299"/>
      <c r="D44" s="203"/>
    </row>
    <row r="45" spans="1:6" s="71" customFormat="1" x14ac:dyDescent="0.25">
      <c r="A45" s="69" t="s">
        <v>840</v>
      </c>
      <c r="B45" s="36">
        <v>66.55</v>
      </c>
      <c r="C45" s="299" t="s">
        <v>834</v>
      </c>
      <c r="D45" s="203" t="s">
        <v>833</v>
      </c>
    </row>
    <row r="46" spans="1:6" s="71" customFormat="1" x14ac:dyDescent="0.25">
      <c r="A46" s="69" t="s">
        <v>868</v>
      </c>
      <c r="B46" s="297">
        <v>40.61</v>
      </c>
      <c r="C46" s="299" t="s">
        <v>834</v>
      </c>
      <c r="D46" s="203" t="s">
        <v>208</v>
      </c>
      <c r="E46" s="13"/>
      <c r="F46" s="10"/>
    </row>
    <row r="47" spans="1:6" s="71" customFormat="1" x14ac:dyDescent="0.25">
      <c r="A47" s="69" t="s">
        <v>876</v>
      </c>
      <c r="B47" s="297">
        <v>30.5</v>
      </c>
      <c r="C47" s="299" t="s">
        <v>834</v>
      </c>
      <c r="D47" s="203" t="s">
        <v>870</v>
      </c>
      <c r="E47" s="13"/>
      <c r="F47" s="10"/>
    </row>
    <row r="48" spans="1:6" s="71" customFormat="1" x14ac:dyDescent="0.25">
      <c r="A48" s="69" t="s">
        <v>877</v>
      </c>
      <c r="B48" s="297">
        <v>38.700000000000003</v>
      </c>
      <c r="C48" s="299" t="s">
        <v>834</v>
      </c>
      <c r="D48" s="203" t="s">
        <v>870</v>
      </c>
      <c r="E48" s="13"/>
      <c r="F48" s="10"/>
    </row>
    <row r="49" spans="1:6" s="71" customFormat="1" x14ac:dyDescent="0.25">
      <c r="A49" s="69" t="s">
        <v>945</v>
      </c>
      <c r="B49" s="297">
        <f>20.86/0.34</f>
        <v>61.35294117647058</v>
      </c>
      <c r="C49" s="299" t="s">
        <v>834</v>
      </c>
      <c r="D49" s="203" t="s">
        <v>942</v>
      </c>
      <c r="E49" s="13"/>
      <c r="F49" s="10"/>
    </row>
    <row r="50" spans="1:6" s="71" customFormat="1" x14ac:dyDescent="0.25">
      <c r="A50" s="69" t="s">
        <v>1011</v>
      </c>
      <c r="B50" s="297">
        <v>65.099999999999994</v>
      </c>
      <c r="C50" s="299" t="s">
        <v>834</v>
      </c>
      <c r="D50" s="203" t="s">
        <v>1012</v>
      </c>
      <c r="E50" s="13"/>
      <c r="F50" s="10"/>
    </row>
    <row r="51" spans="1:6" s="71" customFormat="1" x14ac:dyDescent="0.25">
      <c r="A51" s="49"/>
      <c r="B51" s="297"/>
      <c r="C51" s="299"/>
      <c r="D51" s="203"/>
      <c r="E51" s="13"/>
      <c r="F51" s="10"/>
    </row>
    <row r="52" spans="1:6" s="71" customFormat="1" x14ac:dyDescent="0.25">
      <c r="A52" s="103" t="s">
        <v>886</v>
      </c>
      <c r="B52" s="36"/>
      <c r="C52" s="299"/>
      <c r="D52" s="203"/>
    </row>
    <row r="53" spans="1:6" s="71" customFormat="1" x14ac:dyDescent="0.25">
      <c r="A53" s="69" t="s">
        <v>841</v>
      </c>
      <c r="B53" s="36">
        <v>65.12</v>
      </c>
      <c r="C53" s="299" t="s">
        <v>834</v>
      </c>
      <c r="D53" s="203" t="s">
        <v>833</v>
      </c>
    </row>
    <row r="54" spans="1:6" s="71" customFormat="1" x14ac:dyDescent="0.25">
      <c r="A54" s="69" t="s">
        <v>874</v>
      </c>
      <c r="B54" s="36">
        <v>33.119999999999997</v>
      </c>
      <c r="C54" s="299" t="s">
        <v>834</v>
      </c>
      <c r="D54" s="203" t="s">
        <v>870</v>
      </c>
    </row>
    <row r="55" spans="1:6" s="71" customFormat="1" x14ac:dyDescent="0.25">
      <c r="A55" s="69" t="s">
        <v>946</v>
      </c>
      <c r="B55" s="36">
        <f>17.39/0.3</f>
        <v>57.966666666666669</v>
      </c>
      <c r="C55" s="299" t="s">
        <v>834</v>
      </c>
      <c r="D55" s="203" t="s">
        <v>942</v>
      </c>
    </row>
    <row r="56" spans="1:6" s="71" customFormat="1" x14ac:dyDescent="0.25">
      <c r="A56" s="69"/>
      <c r="B56" s="36"/>
      <c r="C56" s="299"/>
      <c r="D56" s="203"/>
    </row>
    <row r="57" spans="1:6" s="71" customFormat="1" x14ac:dyDescent="0.25">
      <c r="A57" s="103" t="s">
        <v>842</v>
      </c>
      <c r="B57" s="36"/>
      <c r="C57" s="299"/>
      <c r="D57" s="203"/>
    </row>
    <row r="58" spans="1:6" s="71" customFormat="1" x14ac:dyDescent="0.25">
      <c r="A58" s="69" t="s">
        <v>843</v>
      </c>
      <c r="B58" s="36">
        <v>60.42</v>
      </c>
      <c r="C58" s="299" t="s">
        <v>834</v>
      </c>
      <c r="D58" s="203" t="s">
        <v>833</v>
      </c>
    </row>
    <row r="59" spans="1:6" s="71" customFormat="1" x14ac:dyDescent="0.25">
      <c r="A59" s="69" t="s">
        <v>878</v>
      </c>
      <c r="B59" s="36">
        <v>13.9</v>
      </c>
      <c r="C59" s="299" t="s">
        <v>834</v>
      </c>
      <c r="D59" s="203" t="s">
        <v>870</v>
      </c>
    </row>
    <row r="60" spans="1:6" s="71" customFormat="1" x14ac:dyDescent="0.25">
      <c r="A60" s="69" t="s">
        <v>879</v>
      </c>
      <c r="B60" s="36">
        <v>28.7</v>
      </c>
      <c r="C60" s="299" t="s">
        <v>834</v>
      </c>
      <c r="D60" s="203" t="s">
        <v>870</v>
      </c>
    </row>
    <row r="61" spans="1:6" s="71" customFormat="1" x14ac:dyDescent="0.25">
      <c r="A61" s="69" t="s">
        <v>947</v>
      </c>
      <c r="B61" s="36">
        <f>11.26/0.21</f>
        <v>53.61904761904762</v>
      </c>
      <c r="C61" s="299" t="s">
        <v>834</v>
      </c>
      <c r="D61" s="203" t="s">
        <v>942</v>
      </c>
    </row>
    <row r="62" spans="1:6" s="71" customFormat="1" x14ac:dyDescent="0.25">
      <c r="A62" s="69"/>
      <c r="B62" s="36"/>
      <c r="C62" s="299"/>
      <c r="D62" s="203"/>
    </row>
    <row r="63" spans="1:6" s="71" customFormat="1" x14ac:dyDescent="0.25">
      <c r="A63" s="103" t="s">
        <v>844</v>
      </c>
      <c r="B63" s="36"/>
      <c r="C63" s="299"/>
      <c r="D63" s="203"/>
    </row>
    <row r="64" spans="1:6" s="71" customFormat="1" x14ac:dyDescent="0.25">
      <c r="A64" s="69" t="s">
        <v>845</v>
      </c>
      <c r="B64" s="36">
        <v>59.5</v>
      </c>
      <c r="C64" s="299" t="s">
        <v>834</v>
      </c>
      <c r="D64" s="203" t="s">
        <v>833</v>
      </c>
    </row>
    <row r="65" spans="1:4" s="71" customFormat="1" x14ac:dyDescent="0.25">
      <c r="A65" s="69" t="s">
        <v>889</v>
      </c>
      <c r="B65" s="36">
        <v>34.5</v>
      </c>
      <c r="C65" s="299" t="s">
        <v>834</v>
      </c>
      <c r="D65" s="203" t="s">
        <v>870</v>
      </c>
    </row>
    <row r="66" spans="1:4" s="71" customFormat="1" x14ac:dyDescent="0.25">
      <c r="A66" s="69" t="s">
        <v>890</v>
      </c>
      <c r="B66" s="36">
        <v>39</v>
      </c>
      <c r="C66" s="299" t="s">
        <v>834</v>
      </c>
      <c r="D66" s="203" t="s">
        <v>870</v>
      </c>
    </row>
    <row r="67" spans="1:4" s="71" customFormat="1" x14ac:dyDescent="0.25">
      <c r="A67" s="69" t="s">
        <v>930</v>
      </c>
      <c r="B67" s="36">
        <v>45.07</v>
      </c>
      <c r="C67" s="299" t="s">
        <v>834</v>
      </c>
      <c r="D67" s="203" t="s">
        <v>901</v>
      </c>
    </row>
    <row r="68" spans="1:4" s="71" customFormat="1" x14ac:dyDescent="0.25">
      <c r="A68" s="69" t="s">
        <v>958</v>
      </c>
      <c r="B68" s="36">
        <f>7.93/0.11</f>
        <v>72.090909090909093</v>
      </c>
      <c r="C68" s="299" t="s">
        <v>834</v>
      </c>
      <c r="D68" s="203" t="s">
        <v>942</v>
      </c>
    </row>
    <row r="69" spans="1:4" s="71" customFormat="1" x14ac:dyDescent="0.25">
      <c r="A69" s="69"/>
      <c r="B69" s="36"/>
      <c r="C69" s="299"/>
      <c r="D69" s="203"/>
    </row>
    <row r="70" spans="1:4" s="71" customFormat="1" x14ac:dyDescent="0.25">
      <c r="A70" s="103" t="s">
        <v>846</v>
      </c>
      <c r="B70" s="36"/>
      <c r="C70" s="299"/>
      <c r="D70" s="203"/>
    </row>
    <row r="71" spans="1:4" s="71" customFormat="1" x14ac:dyDescent="0.25">
      <c r="A71" s="69" t="s">
        <v>847</v>
      </c>
      <c r="B71" s="36">
        <v>59.5</v>
      </c>
      <c r="C71" s="299" t="s">
        <v>834</v>
      </c>
      <c r="D71" s="203" t="s">
        <v>833</v>
      </c>
    </row>
    <row r="72" spans="1:4" s="71" customFormat="1" x14ac:dyDescent="0.25">
      <c r="A72" s="69" t="s">
        <v>932</v>
      </c>
      <c r="B72" s="36">
        <v>13.9</v>
      </c>
      <c r="C72" s="299" t="s">
        <v>834</v>
      </c>
      <c r="D72" s="203" t="s">
        <v>870</v>
      </c>
    </row>
    <row r="73" spans="1:4" s="71" customFormat="1" x14ac:dyDescent="0.25">
      <c r="A73" s="69" t="s">
        <v>933</v>
      </c>
      <c r="B73" s="36">
        <v>28.7</v>
      </c>
      <c r="C73" s="299" t="s">
        <v>834</v>
      </c>
      <c r="D73" s="203" t="s">
        <v>870</v>
      </c>
    </row>
    <row r="74" spans="1:4" s="71" customFormat="1" x14ac:dyDescent="0.25">
      <c r="A74" s="69" t="s">
        <v>934</v>
      </c>
      <c r="B74" s="36">
        <v>45.07</v>
      </c>
      <c r="C74" s="299" t="s">
        <v>834</v>
      </c>
      <c r="D74" s="203" t="s">
        <v>901</v>
      </c>
    </row>
    <row r="75" spans="1:4" s="71" customFormat="1" x14ac:dyDescent="0.25">
      <c r="A75" s="69" t="s">
        <v>957</v>
      </c>
      <c r="B75" s="36">
        <f>11.43/0.18</f>
        <v>63.5</v>
      </c>
      <c r="C75" s="299" t="s">
        <v>834</v>
      </c>
      <c r="D75" s="203" t="s">
        <v>942</v>
      </c>
    </row>
    <row r="76" spans="1:4" s="71" customFormat="1" x14ac:dyDescent="0.25">
      <c r="A76" s="69"/>
      <c r="B76" s="36"/>
      <c r="C76" s="299"/>
      <c r="D76" s="203"/>
    </row>
    <row r="77" spans="1:4" s="71" customFormat="1" x14ac:dyDescent="0.25">
      <c r="A77" s="103" t="s">
        <v>880</v>
      </c>
      <c r="B77" s="36"/>
      <c r="C77" s="299"/>
      <c r="D77" s="203"/>
    </row>
    <row r="78" spans="1:4" s="71" customFormat="1" x14ac:dyDescent="0.25">
      <c r="A78" s="69" t="s">
        <v>881</v>
      </c>
      <c r="B78" s="36">
        <v>31.6</v>
      </c>
      <c r="C78" s="299" t="s">
        <v>834</v>
      </c>
      <c r="D78" s="203" t="s">
        <v>870</v>
      </c>
    </row>
    <row r="79" spans="1:4" s="71" customFormat="1" x14ac:dyDescent="0.25">
      <c r="A79" s="69" t="s">
        <v>882</v>
      </c>
      <c r="B79" s="36">
        <v>41.4</v>
      </c>
      <c r="C79" s="299" t="s">
        <v>834</v>
      </c>
      <c r="D79" s="203" t="s">
        <v>870</v>
      </c>
    </row>
    <row r="80" spans="1:4" s="71" customFormat="1" x14ac:dyDescent="0.25">
      <c r="A80" s="69"/>
      <c r="B80" s="36"/>
      <c r="C80" s="299"/>
      <c r="D80" s="203"/>
    </row>
    <row r="81" spans="1:17" s="71" customFormat="1" x14ac:dyDescent="0.25">
      <c r="A81" s="69"/>
      <c r="B81" s="36"/>
      <c r="C81" s="299"/>
      <c r="D81" s="203"/>
    </row>
    <row r="82" spans="1:17" s="71" customFormat="1" x14ac:dyDescent="0.25">
      <c r="A82" s="103" t="s">
        <v>940</v>
      </c>
      <c r="B82" s="36"/>
      <c r="C82" s="299"/>
      <c r="D82" s="203"/>
    </row>
    <row r="83" spans="1:17" s="71" customFormat="1" x14ac:dyDescent="0.25">
      <c r="A83" s="69" t="s">
        <v>883</v>
      </c>
      <c r="B83" s="36">
        <v>68.7</v>
      </c>
      <c r="C83" s="299" t="s">
        <v>834</v>
      </c>
      <c r="D83" s="203" t="s">
        <v>870</v>
      </c>
    </row>
    <row r="84" spans="1:17" s="71" customFormat="1" x14ac:dyDescent="0.25">
      <c r="A84" s="69" t="s">
        <v>884</v>
      </c>
      <c r="B84" s="36">
        <v>80.5</v>
      </c>
      <c r="C84" s="299" t="s">
        <v>834</v>
      </c>
      <c r="D84" s="203" t="s">
        <v>870</v>
      </c>
    </row>
    <row r="85" spans="1:17" s="71" customFormat="1" x14ac:dyDescent="0.25">
      <c r="A85" s="69" t="s">
        <v>935</v>
      </c>
      <c r="B85" s="36">
        <v>41.981000000000002</v>
      </c>
      <c r="C85" s="299" t="s">
        <v>834</v>
      </c>
      <c r="D85" s="203" t="s">
        <v>901</v>
      </c>
    </row>
    <row r="86" spans="1:17" s="71" customFormat="1" x14ac:dyDescent="0.25">
      <c r="A86" s="69"/>
      <c r="B86" s="36"/>
      <c r="C86" s="299"/>
      <c r="D86" s="203"/>
    </row>
    <row r="87" spans="1:17" s="71" customFormat="1" x14ac:dyDescent="0.25">
      <c r="A87" s="103" t="s">
        <v>885</v>
      </c>
      <c r="B87" s="36"/>
      <c r="C87" s="299"/>
      <c r="D87" s="203"/>
    </row>
    <row r="88" spans="1:17" s="71" customFormat="1" x14ac:dyDescent="0.25">
      <c r="A88" s="69" t="s">
        <v>887</v>
      </c>
      <c r="B88" s="36">
        <v>36.5</v>
      </c>
      <c r="C88" s="299" t="s">
        <v>834</v>
      </c>
      <c r="D88" s="203" t="s">
        <v>870</v>
      </c>
    </row>
    <row r="89" spans="1:17" s="71" customFormat="1" x14ac:dyDescent="0.25">
      <c r="A89" s="69" t="s">
        <v>888</v>
      </c>
      <c r="B89" s="36">
        <v>43.8</v>
      </c>
      <c r="C89" s="299" t="s">
        <v>834</v>
      </c>
      <c r="D89" s="203" t="s">
        <v>870</v>
      </c>
    </row>
    <row r="90" spans="1:17" s="71" customFormat="1" ht="15.75" thickBot="1" x14ac:dyDescent="0.3">
      <c r="A90" s="69"/>
      <c r="B90" s="36"/>
      <c r="C90" s="299"/>
      <c r="D90" s="203"/>
    </row>
    <row r="91" spans="1:17" x14ac:dyDescent="0.25">
      <c r="A91" s="39" t="s">
        <v>284</v>
      </c>
      <c r="B91" s="166">
        <f>B94</f>
        <v>10.324534166666666</v>
      </c>
      <c r="C91" s="299"/>
      <c r="D91" s="203"/>
      <c r="E91" s="71"/>
      <c r="G91" s="71"/>
      <c r="H91" s="71"/>
      <c r="I91" s="71"/>
      <c r="J91" s="71"/>
      <c r="K91" s="71"/>
      <c r="L91" s="71"/>
      <c r="M91" s="71"/>
      <c r="N91" s="71"/>
      <c r="O91" s="71"/>
      <c r="P91" s="71"/>
      <c r="Q91" s="71"/>
    </row>
    <row r="92" spans="1:17" x14ac:dyDescent="0.25">
      <c r="A92" s="48" t="s">
        <v>280</v>
      </c>
      <c r="B92" s="289">
        <f>COUNT(B96:B107)</f>
        <v>12</v>
      </c>
      <c r="C92" s="299"/>
      <c r="D92" s="203"/>
      <c r="E92" s="71"/>
      <c r="F92" s="71"/>
      <c r="G92" s="71"/>
      <c r="H92" s="71"/>
      <c r="I92" s="71"/>
      <c r="J92" s="71"/>
      <c r="K92" s="71"/>
      <c r="L92" s="71"/>
      <c r="M92" s="71"/>
      <c r="N92" s="71"/>
      <c r="O92" s="71"/>
      <c r="P92" s="71"/>
      <c r="Q92" s="71"/>
    </row>
    <row r="93" spans="1:17" x14ac:dyDescent="0.25">
      <c r="A93" s="48" t="s">
        <v>281</v>
      </c>
      <c r="B93" s="345">
        <f>STDEV(B96:B107)</f>
        <v>5.6494247651186242</v>
      </c>
      <c r="C93" s="299"/>
      <c r="D93" s="203"/>
      <c r="E93" s="71"/>
      <c r="F93" s="71"/>
      <c r="G93" s="71"/>
      <c r="H93" s="71"/>
      <c r="I93" s="71"/>
      <c r="J93" s="71"/>
      <c r="K93" s="71"/>
      <c r="L93" s="71"/>
      <c r="M93" s="71"/>
      <c r="N93" s="71"/>
      <c r="O93" s="71"/>
      <c r="P93" s="71"/>
      <c r="Q93" s="71"/>
    </row>
    <row r="94" spans="1:17" x14ac:dyDescent="0.25">
      <c r="A94" s="48" t="s">
        <v>279</v>
      </c>
      <c r="B94" s="343">
        <f>AVERAGE(B96:B107)</f>
        <v>10.324534166666666</v>
      </c>
      <c r="D94" s="203"/>
      <c r="E94" s="71"/>
      <c r="F94" s="71"/>
      <c r="G94" s="71"/>
      <c r="H94" s="71"/>
      <c r="I94" s="71"/>
      <c r="J94" s="71"/>
      <c r="K94" s="71"/>
      <c r="L94" s="71"/>
      <c r="M94" s="71"/>
      <c r="N94" s="71"/>
      <c r="O94" s="71"/>
      <c r="P94" s="71"/>
      <c r="Q94" s="71"/>
    </row>
    <row r="95" spans="1:17" ht="15.75" thickBot="1" x14ac:dyDescent="0.3">
      <c r="A95" s="48" t="s">
        <v>283</v>
      </c>
      <c r="B95" s="343">
        <f>CONFIDENCE(0.05,B93,B92)</f>
        <v>3.1964042349724306</v>
      </c>
      <c r="C95" s="300"/>
      <c r="D95" s="203"/>
    </row>
    <row r="96" spans="1:17" s="71" customFormat="1" x14ac:dyDescent="0.25">
      <c r="A96" s="87" t="s">
        <v>230</v>
      </c>
      <c r="B96" s="187">
        <v>10.384410000000001</v>
      </c>
      <c r="C96" s="344" t="s">
        <v>5</v>
      </c>
      <c r="D96" s="203" t="s">
        <v>808</v>
      </c>
    </row>
    <row r="97" spans="1:17" s="71" customFormat="1" x14ac:dyDescent="0.25">
      <c r="A97" s="48" t="s">
        <v>231</v>
      </c>
      <c r="B97" s="122">
        <v>14</v>
      </c>
      <c r="C97" s="296" t="s">
        <v>5</v>
      </c>
      <c r="D97" s="203" t="s">
        <v>811</v>
      </c>
    </row>
    <row r="98" spans="1:17" s="71" customFormat="1" x14ac:dyDescent="0.25">
      <c r="A98" s="48" t="s">
        <v>232</v>
      </c>
      <c r="B98" s="122">
        <v>6.48</v>
      </c>
      <c r="C98" s="296" t="s">
        <v>5</v>
      </c>
      <c r="D98" s="203" t="s">
        <v>810</v>
      </c>
    </row>
    <row r="99" spans="1:17" s="71" customFormat="1" x14ac:dyDescent="0.25">
      <c r="A99" s="48" t="s">
        <v>233</v>
      </c>
      <c r="B99" s="122">
        <v>11.1</v>
      </c>
      <c r="C99" s="296" t="s">
        <v>5</v>
      </c>
      <c r="D99" s="203" t="s">
        <v>809</v>
      </c>
    </row>
    <row r="100" spans="1:17" x14ac:dyDescent="0.25">
      <c r="A100" s="48" t="s">
        <v>234</v>
      </c>
      <c r="B100" s="36">
        <v>6.8</v>
      </c>
      <c r="C100" s="295" t="s">
        <v>5</v>
      </c>
      <c r="D100" s="203" t="s">
        <v>273</v>
      </c>
    </row>
    <row r="101" spans="1:17" s="71" customFormat="1" x14ac:dyDescent="0.25">
      <c r="A101" s="48" t="s">
        <v>235</v>
      </c>
      <c r="B101" s="36">
        <v>15.8</v>
      </c>
      <c r="C101" s="295" t="s">
        <v>5</v>
      </c>
      <c r="D101" s="203" t="s">
        <v>814</v>
      </c>
    </row>
    <row r="102" spans="1:17" x14ac:dyDescent="0.25">
      <c r="A102" s="48" t="s">
        <v>236</v>
      </c>
      <c r="B102" s="122">
        <v>3.4</v>
      </c>
      <c r="C102" s="296" t="s">
        <v>5</v>
      </c>
      <c r="D102" s="203" t="s">
        <v>339</v>
      </c>
      <c r="E102" s="8"/>
      <c r="F102" s="8"/>
    </row>
    <row r="103" spans="1:17" x14ac:dyDescent="0.25">
      <c r="A103" s="48" t="s">
        <v>237</v>
      </c>
      <c r="B103" s="122">
        <v>20.3</v>
      </c>
      <c r="C103" s="296" t="s">
        <v>5</v>
      </c>
      <c r="D103" s="203" t="s">
        <v>242</v>
      </c>
      <c r="E103" s="8"/>
      <c r="F103" s="8"/>
    </row>
    <row r="104" spans="1:17" x14ac:dyDescent="0.25">
      <c r="A104" s="48" t="s">
        <v>238</v>
      </c>
      <c r="B104" s="122">
        <v>7.03</v>
      </c>
      <c r="C104" s="296" t="s">
        <v>5</v>
      </c>
      <c r="D104" s="203" t="s">
        <v>89</v>
      </c>
      <c r="E104" s="8"/>
      <c r="F104" s="8"/>
    </row>
    <row r="105" spans="1:17" x14ac:dyDescent="0.25">
      <c r="A105" s="48" t="s">
        <v>239</v>
      </c>
      <c r="B105" s="36">
        <v>1.92</v>
      </c>
      <c r="C105" s="295" t="s">
        <v>5</v>
      </c>
      <c r="D105" s="203" t="s">
        <v>274</v>
      </c>
      <c r="E105" s="8"/>
      <c r="F105" s="8"/>
      <c r="G105" s="8"/>
      <c r="H105" s="8"/>
      <c r="I105" s="8"/>
      <c r="J105" s="8"/>
      <c r="K105" s="8"/>
      <c r="L105" s="8"/>
      <c r="M105" s="8"/>
      <c r="N105" s="8"/>
      <c r="O105" s="8"/>
      <c r="P105" s="8"/>
      <c r="Q105" s="8"/>
    </row>
    <row r="106" spans="1:17" x14ac:dyDescent="0.25">
      <c r="A106" s="48" t="s">
        <v>240</v>
      </c>
      <c r="B106" s="36">
        <v>9.3000000000000007</v>
      </c>
      <c r="C106" s="295" t="s">
        <v>5</v>
      </c>
      <c r="D106" s="203" t="s">
        <v>804</v>
      </c>
    </row>
    <row r="107" spans="1:17" ht="15.75" thickBot="1" x14ac:dyDescent="0.3">
      <c r="A107" s="89" t="s">
        <v>241</v>
      </c>
      <c r="B107" s="138">
        <v>17.38</v>
      </c>
      <c r="C107" s="298" t="s">
        <v>5</v>
      </c>
      <c r="D107" s="203" t="s">
        <v>337</v>
      </c>
    </row>
    <row r="108" spans="1:17" s="71" customFormat="1" x14ac:dyDescent="0.25">
      <c r="A108" s="49"/>
      <c r="B108" s="36"/>
      <c r="C108" s="299"/>
      <c r="D108" s="203"/>
    </row>
    <row r="109" spans="1:17" s="71" customFormat="1" x14ac:dyDescent="0.25">
      <c r="A109" s="103" t="s">
        <v>955</v>
      </c>
      <c r="B109" s="36"/>
      <c r="C109" s="299"/>
      <c r="D109" s="203"/>
    </row>
    <row r="110" spans="1:17" s="71" customFormat="1" x14ac:dyDescent="0.25">
      <c r="A110" s="69" t="s">
        <v>845</v>
      </c>
      <c r="B110" s="36">
        <v>12.13</v>
      </c>
      <c r="C110" s="367" t="s">
        <v>936</v>
      </c>
      <c r="D110" s="203" t="s">
        <v>833</v>
      </c>
    </row>
    <row r="111" spans="1:17" s="71" customFormat="1" x14ac:dyDescent="0.25">
      <c r="A111" s="69" t="s">
        <v>929</v>
      </c>
      <c r="B111" s="36">
        <v>11.824999999999999</v>
      </c>
      <c r="C111" s="367" t="s">
        <v>936</v>
      </c>
      <c r="D111" s="203" t="s">
        <v>901</v>
      </c>
    </row>
    <row r="112" spans="1:17" s="71" customFormat="1" x14ac:dyDescent="0.25">
      <c r="A112" s="69" t="s">
        <v>959</v>
      </c>
      <c r="B112" s="36">
        <f>7.93/0.54</f>
        <v>14.685185185185183</v>
      </c>
      <c r="C112" s="367" t="s">
        <v>936</v>
      </c>
      <c r="D112" s="203" t="s">
        <v>942</v>
      </c>
    </row>
    <row r="113" spans="1:17" s="71" customFormat="1" x14ac:dyDescent="0.25">
      <c r="A113" s="69"/>
      <c r="B113" s="36"/>
      <c r="C113" s="299"/>
      <c r="D113" s="203"/>
    </row>
    <row r="114" spans="1:17" s="71" customFormat="1" x14ac:dyDescent="0.25">
      <c r="A114" s="103" t="s">
        <v>954</v>
      </c>
      <c r="B114" s="36"/>
      <c r="C114" s="299"/>
      <c r="D114" s="203"/>
    </row>
    <row r="115" spans="1:17" s="71" customFormat="1" x14ac:dyDescent="0.25">
      <c r="A115" s="69" t="s">
        <v>848</v>
      </c>
      <c r="B115" s="36">
        <v>12.4</v>
      </c>
      <c r="C115" s="367" t="s">
        <v>936</v>
      </c>
      <c r="D115" s="203" t="s">
        <v>833</v>
      </c>
    </row>
    <row r="116" spans="1:17" s="71" customFormat="1" x14ac:dyDescent="0.25">
      <c r="A116" s="69" t="s">
        <v>937</v>
      </c>
      <c r="B116" s="36">
        <v>11.824999999999999</v>
      </c>
      <c r="C116" s="367" t="s">
        <v>936</v>
      </c>
      <c r="D116" s="203" t="s">
        <v>901</v>
      </c>
    </row>
    <row r="117" spans="1:17" s="71" customFormat="1" x14ac:dyDescent="0.25">
      <c r="A117" s="69" t="s">
        <v>960</v>
      </c>
      <c r="B117" s="36">
        <f>11.43/0.46</f>
        <v>24.84782608695652</v>
      </c>
      <c r="C117" s="367" t="s">
        <v>936</v>
      </c>
      <c r="D117" s="203" t="s">
        <v>942</v>
      </c>
    </row>
    <row r="118" spans="1:17" s="71" customFormat="1" x14ac:dyDescent="0.25">
      <c r="A118" s="69"/>
      <c r="B118" s="36"/>
      <c r="C118" s="367"/>
      <c r="D118" s="203"/>
    </row>
    <row r="119" spans="1:17" s="71" customFormat="1" x14ac:dyDescent="0.25">
      <c r="A119" s="103" t="s">
        <v>953</v>
      </c>
      <c r="B119" s="36"/>
      <c r="C119" s="299"/>
      <c r="D119" s="203"/>
    </row>
    <row r="120" spans="1:17" x14ac:dyDescent="0.25">
      <c r="A120" s="69" t="s">
        <v>849</v>
      </c>
      <c r="B120" s="50">
        <v>15.05</v>
      </c>
      <c r="C120" s="367" t="s">
        <v>936</v>
      </c>
      <c r="D120" s="203" t="s">
        <v>833</v>
      </c>
    </row>
    <row r="121" spans="1:17" x14ac:dyDescent="0.25">
      <c r="A121" s="69" t="s">
        <v>951</v>
      </c>
      <c r="B121" s="36">
        <f>3.14/0.45</f>
        <v>6.9777777777777779</v>
      </c>
      <c r="C121" s="299" t="s">
        <v>936</v>
      </c>
      <c r="D121" s="203" t="s">
        <v>942</v>
      </c>
      <c r="E121" s="71"/>
      <c r="F121" s="71"/>
      <c r="G121" s="71"/>
      <c r="H121" s="71"/>
      <c r="I121" s="71"/>
      <c r="J121" s="71"/>
      <c r="K121" s="71"/>
      <c r="L121" s="71"/>
      <c r="M121" s="71"/>
      <c r="N121" s="71"/>
      <c r="O121" s="71"/>
      <c r="P121" s="71"/>
      <c r="Q121" s="71"/>
    </row>
    <row r="122" spans="1:17" s="71" customFormat="1" x14ac:dyDescent="0.25">
      <c r="A122" s="69"/>
      <c r="B122" s="36"/>
      <c r="C122" s="299"/>
      <c r="D122" s="203"/>
    </row>
    <row r="123" spans="1:17" s="71" customFormat="1" x14ac:dyDescent="0.25">
      <c r="A123" s="103" t="s">
        <v>952</v>
      </c>
      <c r="B123" s="36">
        <f>1.15/0.18</f>
        <v>6.3888888888888884</v>
      </c>
      <c r="C123" s="299" t="s">
        <v>936</v>
      </c>
      <c r="D123" s="203" t="s">
        <v>942</v>
      </c>
    </row>
    <row r="124" spans="1:17" s="71" customFormat="1" x14ac:dyDescent="0.25">
      <c r="A124" s="69"/>
      <c r="B124" s="36"/>
      <c r="C124" s="299"/>
      <c r="D124" s="203"/>
    </row>
    <row r="125" spans="1:17" s="71" customFormat="1" x14ac:dyDescent="0.25">
      <c r="A125" s="101" t="s">
        <v>956</v>
      </c>
      <c r="B125" s="36"/>
      <c r="C125" s="299"/>
      <c r="D125" s="203"/>
    </row>
    <row r="126" spans="1:17" s="71" customFormat="1" x14ac:dyDescent="0.25">
      <c r="A126" s="48" t="s">
        <v>950</v>
      </c>
      <c r="B126" s="36">
        <f>(0.3+0.47+0.77+0.41+1.18)/0.3</f>
        <v>10.433333333333334</v>
      </c>
      <c r="C126" s="367" t="s">
        <v>936</v>
      </c>
      <c r="D126" s="203" t="s">
        <v>942</v>
      </c>
    </row>
    <row r="127" spans="1:17" s="71" customFormat="1" ht="15.75" thickBot="1" x14ac:dyDescent="0.3">
      <c r="A127" s="48"/>
      <c r="B127" s="36"/>
      <c r="C127" s="299"/>
      <c r="D127" s="203"/>
    </row>
    <row r="128" spans="1:17" x14ac:dyDescent="0.25">
      <c r="A128" s="39" t="s">
        <v>850</v>
      </c>
      <c r="B128" s="342">
        <f>B131</f>
        <v>6.9503129166666673</v>
      </c>
      <c r="C128" s="346"/>
      <c r="D128" s="203"/>
      <c r="E128" s="8"/>
      <c r="F128" s="71"/>
      <c r="G128" s="71"/>
      <c r="H128" s="71"/>
      <c r="I128" s="71"/>
      <c r="J128" s="71"/>
      <c r="K128" s="71"/>
      <c r="L128" s="71"/>
      <c r="M128" s="71"/>
      <c r="N128" s="71"/>
      <c r="O128" s="71"/>
      <c r="P128" s="71"/>
      <c r="Q128" s="71"/>
    </row>
    <row r="129" spans="1:17" x14ac:dyDescent="0.25">
      <c r="A129" s="86" t="s">
        <v>280</v>
      </c>
      <c r="B129" s="347">
        <f>COUNT(B133:B144)</f>
        <v>12</v>
      </c>
      <c r="C129" s="346"/>
      <c r="D129" s="203"/>
      <c r="E129" s="8"/>
      <c r="F129" s="71"/>
      <c r="G129" s="71"/>
      <c r="H129" s="71"/>
      <c r="I129" s="71"/>
      <c r="J129" s="71"/>
      <c r="K129" s="71"/>
      <c r="L129" s="71"/>
      <c r="M129" s="71"/>
      <c r="N129" s="71"/>
      <c r="O129" s="71"/>
      <c r="P129" s="71"/>
      <c r="Q129" s="71"/>
    </row>
    <row r="130" spans="1:17" x14ac:dyDescent="0.25">
      <c r="A130" s="86" t="s">
        <v>281</v>
      </c>
      <c r="B130" s="343">
        <f>STDEV(B133:B144)</f>
        <v>2.7670723768341237</v>
      </c>
      <c r="C130" s="346"/>
      <c r="D130" s="203"/>
      <c r="E130" s="8"/>
    </row>
    <row r="131" spans="1:17" x14ac:dyDescent="0.25">
      <c r="A131" s="86" t="s">
        <v>279</v>
      </c>
      <c r="B131" s="348">
        <f>AVERAGE(B133:B144)</f>
        <v>6.9503129166666673</v>
      </c>
      <c r="C131" s="203"/>
      <c r="D131" s="203"/>
      <c r="E131" s="8"/>
      <c r="F131" s="71"/>
      <c r="G131" s="71"/>
      <c r="H131" s="71"/>
      <c r="I131" s="71"/>
      <c r="J131" s="71"/>
      <c r="K131" s="71"/>
      <c r="L131" s="71"/>
      <c r="M131" s="71"/>
      <c r="N131" s="71"/>
      <c r="O131" s="71"/>
      <c r="P131" s="71"/>
      <c r="Q131" s="71"/>
    </row>
    <row r="132" spans="1:17" ht="15.75" thickBot="1" x14ac:dyDescent="0.3">
      <c r="A132" s="86" t="s">
        <v>283</v>
      </c>
      <c r="B132" s="343">
        <f>CONFIDENCE(0.05,B130,B129)</f>
        <v>1.5655898133908692</v>
      </c>
      <c r="C132" s="346"/>
      <c r="D132" s="203"/>
      <c r="E132" s="8"/>
      <c r="F132" s="71"/>
      <c r="G132" s="71"/>
      <c r="H132" s="71"/>
      <c r="I132" s="71"/>
      <c r="J132" s="71"/>
      <c r="K132" s="71"/>
      <c r="L132" s="71"/>
      <c r="M132" s="71"/>
      <c r="N132" s="71"/>
      <c r="O132" s="71"/>
      <c r="P132" s="71"/>
      <c r="Q132" s="71"/>
    </row>
    <row r="133" spans="1:17" s="71" customFormat="1" x14ac:dyDescent="0.25">
      <c r="A133" s="184" t="s">
        <v>851</v>
      </c>
      <c r="B133" s="187">
        <v>4.1537550000000003</v>
      </c>
      <c r="C133" s="344" t="s">
        <v>5</v>
      </c>
      <c r="D133" s="203" t="s">
        <v>808</v>
      </c>
      <c r="E133" s="8"/>
    </row>
    <row r="134" spans="1:17" s="71" customFormat="1" x14ac:dyDescent="0.25">
      <c r="A134" s="86" t="s">
        <v>852</v>
      </c>
      <c r="B134" s="122">
        <v>8</v>
      </c>
      <c r="C134" s="296" t="s">
        <v>5</v>
      </c>
      <c r="D134" s="203" t="s">
        <v>811</v>
      </c>
      <c r="E134" s="8"/>
    </row>
    <row r="135" spans="1:17" s="71" customFormat="1" x14ac:dyDescent="0.25">
      <c r="A135" s="86" t="s">
        <v>853</v>
      </c>
      <c r="B135" s="122">
        <v>4.6500000000000004</v>
      </c>
      <c r="C135" s="296" t="s">
        <v>5</v>
      </c>
      <c r="D135" s="203" t="s">
        <v>810</v>
      </c>
      <c r="E135" s="8"/>
    </row>
    <row r="136" spans="1:17" s="71" customFormat="1" x14ac:dyDescent="0.25">
      <c r="A136" s="86" t="s">
        <v>854</v>
      </c>
      <c r="B136" s="36">
        <v>6.7</v>
      </c>
      <c r="C136" s="295" t="s">
        <v>5</v>
      </c>
      <c r="D136" s="203" t="s">
        <v>809</v>
      </c>
    </row>
    <row r="137" spans="1:17" x14ac:dyDescent="0.25">
      <c r="A137" s="86" t="s">
        <v>855</v>
      </c>
      <c r="B137" s="122">
        <v>4.7</v>
      </c>
      <c r="C137" s="296" t="s">
        <v>5</v>
      </c>
      <c r="D137" s="203" t="s">
        <v>273</v>
      </c>
      <c r="E137" s="8"/>
      <c r="F137" s="8"/>
    </row>
    <row r="138" spans="1:17" s="71" customFormat="1" x14ac:dyDescent="0.25">
      <c r="A138" s="86" t="s">
        <v>856</v>
      </c>
      <c r="B138" s="122">
        <v>9.3000000000000007</v>
      </c>
      <c r="C138" s="296" t="s">
        <v>5</v>
      </c>
      <c r="D138" s="203" t="s">
        <v>814</v>
      </c>
      <c r="E138" s="8"/>
      <c r="F138" s="8"/>
    </row>
    <row r="139" spans="1:17" x14ac:dyDescent="0.25">
      <c r="A139" s="86" t="s">
        <v>857</v>
      </c>
      <c r="B139" s="122">
        <v>4.5999999999999996</v>
      </c>
      <c r="C139" s="296" t="s">
        <v>5</v>
      </c>
      <c r="D139" s="203" t="s">
        <v>339</v>
      </c>
      <c r="E139" s="8"/>
      <c r="F139" s="8"/>
    </row>
    <row r="140" spans="1:17" x14ac:dyDescent="0.25">
      <c r="A140" s="86" t="s">
        <v>858</v>
      </c>
      <c r="B140" s="122">
        <v>9.0500000000000007</v>
      </c>
      <c r="C140" s="296" t="s">
        <v>5</v>
      </c>
      <c r="D140" s="203" t="s">
        <v>242</v>
      </c>
      <c r="E140" s="8"/>
      <c r="F140" s="8"/>
    </row>
    <row r="141" spans="1:17" x14ac:dyDescent="0.25">
      <c r="A141" s="86" t="s">
        <v>859</v>
      </c>
      <c r="B141" s="122">
        <v>4.79</v>
      </c>
      <c r="C141" s="296" t="s">
        <v>5</v>
      </c>
      <c r="D141" s="203" t="s">
        <v>274</v>
      </c>
      <c r="E141" s="8"/>
      <c r="F141" s="8"/>
    </row>
    <row r="142" spans="1:17" x14ac:dyDescent="0.25">
      <c r="A142" s="86" t="s">
        <v>860</v>
      </c>
      <c r="B142" s="122">
        <v>6.85</v>
      </c>
      <c r="C142" s="296" t="s">
        <v>5</v>
      </c>
      <c r="D142" s="203" t="s">
        <v>89</v>
      </c>
      <c r="E142" s="8"/>
      <c r="F142" s="8"/>
      <c r="G142" s="8"/>
      <c r="H142" s="8"/>
      <c r="I142" s="8"/>
      <c r="J142" s="8"/>
      <c r="K142" s="8"/>
      <c r="L142" s="8"/>
      <c r="M142" s="8"/>
      <c r="N142" s="8"/>
      <c r="O142" s="8"/>
      <c r="P142" s="8"/>
      <c r="Q142" s="8"/>
    </row>
    <row r="143" spans="1:17" x14ac:dyDescent="0.25">
      <c r="A143" s="86" t="s">
        <v>861</v>
      </c>
      <c r="B143" s="36">
        <v>6.97</v>
      </c>
      <c r="C143" s="295" t="s">
        <v>5</v>
      </c>
      <c r="D143" s="203" t="s">
        <v>804</v>
      </c>
      <c r="E143" s="8"/>
      <c r="F143" s="8"/>
    </row>
    <row r="144" spans="1:17" ht="15.75" thickBot="1" x14ac:dyDescent="0.3">
      <c r="A144" s="185" t="s">
        <v>862</v>
      </c>
      <c r="B144" s="138">
        <v>13.64</v>
      </c>
      <c r="C144" s="298" t="s">
        <v>5</v>
      </c>
      <c r="D144" s="203" t="s">
        <v>337</v>
      </c>
    </row>
    <row r="145" spans="1:17" s="71" customFormat="1" x14ac:dyDescent="0.25">
      <c r="A145" s="69"/>
      <c r="B145" s="36"/>
      <c r="C145" s="299"/>
      <c r="D145" s="203"/>
    </row>
    <row r="146" spans="1:17" s="71" customFormat="1" x14ac:dyDescent="0.25">
      <c r="A146" s="103" t="s">
        <v>863</v>
      </c>
      <c r="B146" s="36"/>
      <c r="C146" s="299"/>
      <c r="D146" s="203"/>
    </row>
    <row r="147" spans="1:17" s="71" customFormat="1" x14ac:dyDescent="0.25">
      <c r="A147" s="69" t="s">
        <v>864</v>
      </c>
      <c r="B147" s="36">
        <v>11.15</v>
      </c>
      <c r="C147" s="367" t="s">
        <v>865</v>
      </c>
      <c r="D147" s="203" t="s">
        <v>833</v>
      </c>
    </row>
    <row r="148" spans="1:17" s="71" customFormat="1" x14ac:dyDescent="0.25">
      <c r="A148" s="69"/>
      <c r="B148" s="36"/>
      <c r="C148" s="299"/>
      <c r="D148" s="203"/>
    </row>
    <row r="149" spans="1:17" s="71" customFormat="1" x14ac:dyDescent="0.25">
      <c r="A149" s="103" t="s">
        <v>948</v>
      </c>
      <c r="B149" s="36"/>
      <c r="C149" s="299"/>
      <c r="D149" s="203"/>
    </row>
    <row r="150" spans="1:17" s="71" customFormat="1" x14ac:dyDescent="0.25">
      <c r="A150" s="69" t="s">
        <v>892</v>
      </c>
      <c r="B150" s="36">
        <v>5</v>
      </c>
      <c r="C150" s="367" t="s">
        <v>891</v>
      </c>
      <c r="D150" s="203" t="s">
        <v>870</v>
      </c>
    </row>
    <row r="151" spans="1:17" s="71" customFormat="1" x14ac:dyDescent="0.25">
      <c r="A151" s="69" t="s">
        <v>949</v>
      </c>
      <c r="B151" s="36">
        <f>2.88/0.6</f>
        <v>4.8</v>
      </c>
      <c r="C151" s="367" t="s">
        <v>891</v>
      </c>
      <c r="D151" s="203" t="s">
        <v>942</v>
      </c>
    </row>
    <row r="152" spans="1:17" s="71" customFormat="1" x14ac:dyDescent="0.25">
      <c r="A152" s="69"/>
      <c r="B152" s="36"/>
      <c r="C152" s="299"/>
      <c r="D152" s="203"/>
    </row>
    <row r="153" spans="1:17" s="71" customFormat="1" x14ac:dyDescent="0.25">
      <c r="A153" s="103" t="s">
        <v>893</v>
      </c>
      <c r="B153" s="36"/>
      <c r="C153" s="299"/>
      <c r="D153" s="203"/>
    </row>
    <row r="154" spans="1:17" s="71" customFormat="1" x14ac:dyDescent="0.25">
      <c r="A154" s="69" t="s">
        <v>894</v>
      </c>
      <c r="B154" s="36">
        <v>5.4</v>
      </c>
      <c r="C154" s="367" t="s">
        <v>891</v>
      </c>
      <c r="D154" s="203" t="s">
        <v>870</v>
      </c>
    </row>
    <row r="155" spans="1:17" s="71" customFormat="1" x14ac:dyDescent="0.25">
      <c r="A155" s="69"/>
      <c r="B155" s="36"/>
      <c r="C155" s="367"/>
      <c r="D155" s="203"/>
    </row>
    <row r="156" spans="1:17" s="71" customFormat="1" x14ac:dyDescent="0.25">
      <c r="A156" s="103" t="s">
        <v>938</v>
      </c>
      <c r="B156" s="36"/>
      <c r="C156" s="299"/>
      <c r="D156" s="203"/>
    </row>
    <row r="157" spans="1:17" s="71" customFormat="1" x14ac:dyDescent="0.25">
      <c r="A157" s="69" t="s">
        <v>939</v>
      </c>
      <c r="B157" s="36">
        <v>8.4</v>
      </c>
      <c r="C157" s="367" t="s">
        <v>891</v>
      </c>
      <c r="D157" s="203" t="s">
        <v>901</v>
      </c>
    </row>
    <row r="158" spans="1:17" s="71" customFormat="1" ht="15.75" thickBot="1" x14ac:dyDescent="0.3">
      <c r="A158" s="69"/>
      <c r="B158" s="36"/>
      <c r="C158" s="299"/>
      <c r="D158" s="203"/>
    </row>
    <row r="159" spans="1:17" x14ac:dyDescent="0.25">
      <c r="A159" s="39" t="s">
        <v>150</v>
      </c>
      <c r="B159" s="166">
        <f>B162</f>
        <v>1.0033333333333332</v>
      </c>
      <c r="C159" s="299"/>
      <c r="D159" s="203"/>
      <c r="E159" s="71"/>
      <c r="F159" s="71"/>
      <c r="G159" s="71"/>
      <c r="H159" s="71"/>
      <c r="I159" s="71"/>
      <c r="J159" s="71"/>
      <c r="K159" s="71"/>
      <c r="L159" s="71"/>
      <c r="M159" s="71"/>
      <c r="N159" s="71"/>
      <c r="O159" s="71"/>
      <c r="P159" s="71"/>
      <c r="Q159" s="71"/>
    </row>
    <row r="160" spans="1:17" x14ac:dyDescent="0.25">
      <c r="A160" s="48" t="s">
        <v>280</v>
      </c>
      <c r="B160" s="289">
        <f>COUNT(B164:B166)</f>
        <v>3</v>
      </c>
      <c r="C160" s="299"/>
      <c r="D160" s="203"/>
      <c r="E160" s="71"/>
      <c r="F160" s="71"/>
      <c r="G160" s="71"/>
      <c r="H160" s="71"/>
      <c r="I160" s="71"/>
      <c r="J160" s="71"/>
      <c r="K160" s="71"/>
      <c r="L160" s="71"/>
      <c r="M160" s="71"/>
      <c r="N160" s="71"/>
      <c r="O160" s="71"/>
      <c r="P160" s="71"/>
      <c r="Q160" s="71"/>
    </row>
    <row r="161" spans="1:17" x14ac:dyDescent="0.25">
      <c r="A161" s="48" t="s">
        <v>281</v>
      </c>
      <c r="B161" s="293">
        <f>STDEV(B164:B166)</f>
        <v>0.80958837277553186</v>
      </c>
      <c r="C161" s="300"/>
      <c r="D161" s="203"/>
    </row>
    <row r="162" spans="1:17" x14ac:dyDescent="0.25">
      <c r="A162" s="48" t="s">
        <v>279</v>
      </c>
      <c r="B162" s="293">
        <f>AVERAGE(B164:B166)</f>
        <v>1.0033333333333332</v>
      </c>
      <c r="D162" s="203"/>
      <c r="E162" s="71"/>
      <c r="F162" s="71"/>
      <c r="G162" s="71"/>
      <c r="H162" s="71"/>
      <c r="I162" s="71"/>
      <c r="J162" s="71"/>
      <c r="K162" s="71"/>
      <c r="L162" s="71"/>
      <c r="M162" s="71"/>
      <c r="N162" s="71"/>
      <c r="O162" s="71"/>
      <c r="P162" s="71"/>
      <c r="Q162" s="71"/>
    </row>
    <row r="163" spans="1:17" ht="15.75" thickBot="1" x14ac:dyDescent="0.3">
      <c r="A163" s="48" t="s">
        <v>283</v>
      </c>
      <c r="B163" s="293">
        <f>CONFIDENCE(0.05,B161,B160)</f>
        <v>0.91611865310673335</v>
      </c>
      <c r="C163" s="300"/>
      <c r="D163" s="203"/>
      <c r="E163" s="71"/>
      <c r="F163" s="71"/>
      <c r="G163" s="71"/>
      <c r="H163" s="71"/>
      <c r="I163" s="71"/>
      <c r="J163" s="71"/>
      <c r="K163" s="71"/>
      <c r="L163" s="71"/>
      <c r="M163" s="71"/>
      <c r="N163" s="71"/>
      <c r="O163" s="71"/>
      <c r="P163" s="71"/>
      <c r="Q163" s="71"/>
    </row>
    <row r="164" spans="1:17" x14ac:dyDescent="0.25">
      <c r="A164" s="87" t="s">
        <v>52</v>
      </c>
      <c r="B164" s="275">
        <v>0.12</v>
      </c>
      <c r="C164" s="294" t="s">
        <v>5</v>
      </c>
      <c r="D164" s="203" t="s">
        <v>274</v>
      </c>
    </row>
    <row r="165" spans="1:17" x14ac:dyDescent="0.25">
      <c r="A165" s="48" t="s">
        <v>53</v>
      </c>
      <c r="B165" s="36">
        <v>1.71</v>
      </c>
      <c r="C165" s="295" t="s">
        <v>5</v>
      </c>
      <c r="D165" s="203" t="s">
        <v>89</v>
      </c>
    </row>
    <row r="166" spans="1:17" ht="15.75" thickBot="1" x14ac:dyDescent="0.3">
      <c r="A166" s="89" t="s">
        <v>54</v>
      </c>
      <c r="B166" s="138">
        <v>1.18</v>
      </c>
      <c r="C166" s="298" t="s">
        <v>5</v>
      </c>
      <c r="D166" s="203" t="s">
        <v>337</v>
      </c>
    </row>
    <row r="167" spans="1:17" x14ac:dyDescent="0.25">
      <c r="D167" s="203"/>
    </row>
    <row r="168" spans="1:17" ht="15.75" thickBot="1" x14ac:dyDescent="0.3">
      <c r="A168" s="1" t="s">
        <v>149</v>
      </c>
      <c r="D168" s="203"/>
    </row>
    <row r="169" spans="1:17" x14ac:dyDescent="0.25">
      <c r="A169" s="32" t="s">
        <v>296</v>
      </c>
      <c r="B169" s="166">
        <f>B172</f>
        <v>45.2575</v>
      </c>
      <c r="D169" s="203"/>
    </row>
    <row r="170" spans="1:17" x14ac:dyDescent="0.25">
      <c r="A170" s="48" t="s">
        <v>295</v>
      </c>
      <c r="B170" s="178">
        <f>COUNT(B174:B177)</f>
        <v>4</v>
      </c>
      <c r="D170" s="203"/>
    </row>
    <row r="171" spans="1:17" x14ac:dyDescent="0.25">
      <c r="A171" s="48" t="s">
        <v>281</v>
      </c>
      <c r="B171" s="301">
        <f>STDEV(B174:B177)</f>
        <v>43.543677975874594</v>
      </c>
      <c r="D171" s="203"/>
    </row>
    <row r="172" spans="1:17" x14ac:dyDescent="0.25">
      <c r="A172" s="48" t="s">
        <v>279</v>
      </c>
      <c r="B172" s="302">
        <f>AVERAGE(B174:B177)</f>
        <v>45.2575</v>
      </c>
      <c r="D172" s="203"/>
    </row>
    <row r="173" spans="1:17" ht="15.75" thickBot="1" x14ac:dyDescent="0.3">
      <c r="A173" s="48" t="s">
        <v>283</v>
      </c>
      <c r="B173" s="302">
        <f>CONFIDENCE(0.05,B171,B170)</f>
        <v>42.67202029356207</v>
      </c>
      <c r="D173" s="203"/>
    </row>
    <row r="174" spans="1:17" x14ac:dyDescent="0.25">
      <c r="A174" s="87" t="s">
        <v>329</v>
      </c>
      <c r="B174" s="275">
        <v>10.029999999999999</v>
      </c>
      <c r="C174" s="134" t="s">
        <v>5</v>
      </c>
      <c r="D174" s="203" t="s">
        <v>274</v>
      </c>
    </row>
    <row r="175" spans="1:17" x14ac:dyDescent="0.25">
      <c r="A175" s="48" t="s">
        <v>42</v>
      </c>
      <c r="B175" s="122">
        <v>53.4</v>
      </c>
      <c r="C175" s="178" t="s">
        <v>5</v>
      </c>
      <c r="D175" s="203" t="s">
        <v>89</v>
      </c>
    </row>
    <row r="176" spans="1:17" x14ac:dyDescent="0.25">
      <c r="A176" s="48" t="s">
        <v>81</v>
      </c>
      <c r="B176" s="122">
        <v>14</v>
      </c>
      <c r="C176" s="289" t="s">
        <v>5</v>
      </c>
      <c r="D176" s="203" t="s">
        <v>125</v>
      </c>
    </row>
    <row r="177" spans="1:4" ht="15.75" thickBot="1" x14ac:dyDescent="0.3">
      <c r="A177" s="89" t="s">
        <v>82</v>
      </c>
      <c r="B177" s="138">
        <v>103.6</v>
      </c>
      <c r="C177" s="288" t="s">
        <v>5</v>
      </c>
      <c r="D177" s="203" t="s">
        <v>337</v>
      </c>
    </row>
    <row r="178" spans="1:4" ht="15.75" thickBot="1" x14ac:dyDescent="0.3">
      <c r="D178" s="203"/>
    </row>
    <row r="179" spans="1:4" x14ac:dyDescent="0.25">
      <c r="A179" s="39" t="s">
        <v>297</v>
      </c>
      <c r="B179" s="168">
        <f>B182</f>
        <v>8.6449999999999996</v>
      </c>
      <c r="C179" s="69"/>
      <c r="D179" s="203"/>
    </row>
    <row r="180" spans="1:4" x14ac:dyDescent="0.25">
      <c r="A180" s="48" t="s">
        <v>295</v>
      </c>
      <c r="B180" s="178">
        <f>COUNT(B184:B189)</f>
        <v>6</v>
      </c>
      <c r="C180" s="69"/>
      <c r="D180" s="203"/>
    </row>
    <row r="181" spans="1:4" x14ac:dyDescent="0.25">
      <c r="A181" s="48" t="s">
        <v>281</v>
      </c>
      <c r="B181" s="302">
        <f>STDEV(B184:B189)</f>
        <v>5.6979285709808627</v>
      </c>
      <c r="C181" s="69"/>
      <c r="D181" s="203"/>
    </row>
    <row r="182" spans="1:4" x14ac:dyDescent="0.25">
      <c r="A182" s="48" t="s">
        <v>279</v>
      </c>
      <c r="B182" s="293">
        <f>AVERAGE(B184:B189)</f>
        <v>8.6449999999999996</v>
      </c>
      <c r="D182" s="203"/>
    </row>
    <row r="183" spans="1:4" ht="15.75" thickBot="1" x14ac:dyDescent="0.3">
      <c r="A183" s="48" t="s">
        <v>283</v>
      </c>
      <c r="B183" s="302">
        <f>CONFIDENCE(0.05,B181,B180)</f>
        <v>4.5592086345767573</v>
      </c>
      <c r="D183" s="203"/>
    </row>
    <row r="184" spans="1:4" x14ac:dyDescent="0.25">
      <c r="A184" s="87" t="s">
        <v>92</v>
      </c>
      <c r="B184" s="187">
        <v>12.56</v>
      </c>
      <c r="C184" s="290" t="s">
        <v>5</v>
      </c>
      <c r="D184" s="203" t="s">
        <v>12</v>
      </c>
    </row>
    <row r="185" spans="1:4" x14ac:dyDescent="0.25">
      <c r="A185" s="48" t="s">
        <v>375</v>
      </c>
      <c r="B185" s="36">
        <v>18.239999999999998</v>
      </c>
      <c r="C185" s="178" t="s">
        <v>5</v>
      </c>
      <c r="D185" s="203" t="s">
        <v>27</v>
      </c>
    </row>
    <row r="186" spans="1:4" x14ac:dyDescent="0.25">
      <c r="A186" s="48" t="s">
        <v>126</v>
      </c>
      <c r="B186" s="122">
        <v>7.2</v>
      </c>
      <c r="C186" s="289" t="s">
        <v>5</v>
      </c>
      <c r="D186" s="203" t="s">
        <v>133</v>
      </c>
    </row>
    <row r="187" spans="1:4" x14ac:dyDescent="0.25">
      <c r="A187" s="48" t="s">
        <v>136</v>
      </c>
      <c r="B187" s="122">
        <v>5</v>
      </c>
      <c r="C187" s="289" t="s">
        <v>5</v>
      </c>
      <c r="D187" s="203" t="s">
        <v>139</v>
      </c>
    </row>
    <row r="188" spans="1:4" x14ac:dyDescent="0.25">
      <c r="A188" s="48" t="s">
        <v>141</v>
      </c>
      <c r="B188" s="36">
        <v>5.87</v>
      </c>
      <c r="C188" s="178" t="s">
        <v>5</v>
      </c>
      <c r="D188" s="203" t="s">
        <v>89</v>
      </c>
    </row>
    <row r="189" spans="1:4" x14ac:dyDescent="0.25">
      <c r="A189" s="48" t="s">
        <v>156</v>
      </c>
      <c r="B189" s="122">
        <v>3</v>
      </c>
      <c r="C189" s="289" t="s">
        <v>5</v>
      </c>
      <c r="D189" s="203" t="s">
        <v>125</v>
      </c>
    </row>
    <row r="190" spans="1:4" ht="15.75" thickBot="1" x14ac:dyDescent="0.3">
      <c r="A190" s="89" t="s">
        <v>223</v>
      </c>
      <c r="B190" s="126">
        <v>13.5</v>
      </c>
      <c r="C190" s="303" t="s">
        <v>5</v>
      </c>
      <c r="D190" s="203" t="s">
        <v>333</v>
      </c>
    </row>
    <row r="191" spans="1:4" ht="15.75" thickBot="1" x14ac:dyDescent="0.3">
      <c r="D191" s="203"/>
    </row>
    <row r="192" spans="1:4" x14ac:dyDescent="0.25">
      <c r="A192" s="39" t="s">
        <v>298</v>
      </c>
      <c r="B192" s="168">
        <f>B195</f>
        <v>7.0825000000000005</v>
      </c>
      <c r="C192" s="69"/>
      <c r="D192" s="203"/>
    </row>
    <row r="193" spans="1:4" x14ac:dyDescent="0.25">
      <c r="A193" s="48" t="s">
        <v>295</v>
      </c>
      <c r="B193" s="178">
        <f>COUNT(B197:B200)</f>
        <v>4</v>
      </c>
      <c r="C193" s="69"/>
      <c r="D193" s="203"/>
    </row>
    <row r="194" spans="1:4" x14ac:dyDescent="0.25">
      <c r="A194" s="48" t="s">
        <v>281</v>
      </c>
      <c r="B194" s="293">
        <f>STDEV(B197:B200)</f>
        <v>4.0402671116317705</v>
      </c>
      <c r="C194" s="69"/>
      <c r="D194" s="203"/>
    </row>
    <row r="195" spans="1:4" x14ac:dyDescent="0.25">
      <c r="A195" s="48" t="s">
        <v>279</v>
      </c>
      <c r="B195" s="293">
        <f>AVERAGE(B197:B200)</f>
        <v>7.0825000000000005</v>
      </c>
      <c r="D195" s="203"/>
    </row>
    <row r="196" spans="1:4" ht="15.75" thickBot="1" x14ac:dyDescent="0.3">
      <c r="A196" s="48" t="s">
        <v>283</v>
      </c>
      <c r="B196" s="302">
        <f>CONFIDENCE(0.05,B194,B193)</f>
        <v>3.9593890133599694</v>
      </c>
      <c r="D196" s="203"/>
    </row>
    <row r="197" spans="1:4" x14ac:dyDescent="0.25">
      <c r="A197" s="87" t="s">
        <v>128</v>
      </c>
      <c r="B197" s="275">
        <v>12.56</v>
      </c>
      <c r="C197" s="134" t="s">
        <v>5</v>
      </c>
      <c r="D197" s="203" t="s">
        <v>12</v>
      </c>
    </row>
    <row r="198" spans="1:4" x14ac:dyDescent="0.25">
      <c r="A198" s="48" t="s">
        <v>127</v>
      </c>
      <c r="B198" s="122">
        <v>7.2</v>
      </c>
      <c r="C198" s="289" t="s">
        <v>5</v>
      </c>
      <c r="D198" s="203" t="s">
        <v>133</v>
      </c>
    </row>
    <row r="199" spans="1:4" x14ac:dyDescent="0.25">
      <c r="A199" s="48" t="s">
        <v>130</v>
      </c>
      <c r="B199" s="36">
        <v>5.57</v>
      </c>
      <c r="C199" s="178" t="s">
        <v>5</v>
      </c>
      <c r="D199" s="203" t="s">
        <v>89</v>
      </c>
    </row>
    <row r="200" spans="1:4" ht="15.75" thickBot="1" x14ac:dyDescent="0.3">
      <c r="A200" s="89" t="s">
        <v>132</v>
      </c>
      <c r="B200" s="138">
        <v>3</v>
      </c>
      <c r="C200" s="288" t="s">
        <v>5</v>
      </c>
      <c r="D200" s="203" t="s">
        <v>125</v>
      </c>
    </row>
    <row r="201" spans="1:4" ht="15.75" thickBot="1" x14ac:dyDescent="0.3">
      <c r="D201" s="203"/>
    </row>
    <row r="202" spans="1:4" x14ac:dyDescent="0.25">
      <c r="A202" s="32" t="s">
        <v>299</v>
      </c>
      <c r="B202" s="304">
        <f>B205</f>
        <v>15.333333333333334</v>
      </c>
      <c r="C202" s="69"/>
      <c r="D202" s="203"/>
    </row>
    <row r="203" spans="1:4" x14ac:dyDescent="0.25">
      <c r="A203" s="48" t="s">
        <v>295</v>
      </c>
      <c r="B203" s="178">
        <f>COUNT(B207:B209)</f>
        <v>3</v>
      </c>
      <c r="C203" s="69"/>
      <c r="D203" s="203"/>
    </row>
    <row r="204" spans="1:4" x14ac:dyDescent="0.25">
      <c r="A204" s="48" t="s">
        <v>281</v>
      </c>
      <c r="B204" s="302">
        <f>STDEV(B207:B209)</f>
        <v>11.676186592091328</v>
      </c>
      <c r="C204" s="69"/>
      <c r="D204" s="203"/>
    </row>
    <row r="205" spans="1:4" x14ac:dyDescent="0.25">
      <c r="A205" s="48" t="s">
        <v>279</v>
      </c>
      <c r="B205" s="178">
        <f>AVERAGE(B207:B209)</f>
        <v>15.333333333333334</v>
      </c>
      <c r="D205" s="203"/>
    </row>
    <row r="206" spans="1:4" ht="15.75" thickBot="1" x14ac:dyDescent="0.3">
      <c r="A206" s="48" t="s">
        <v>283</v>
      </c>
      <c r="B206" s="302">
        <f>CONFIDENCE(0.05,B204,B203)</f>
        <v>13.212606176022017</v>
      </c>
      <c r="C206" s="69"/>
      <c r="D206" s="203"/>
    </row>
    <row r="207" spans="1:4" x14ac:dyDescent="0.25">
      <c r="A207" s="87" t="s">
        <v>267</v>
      </c>
      <c r="B207" s="275">
        <v>28</v>
      </c>
      <c r="C207" s="134" t="s">
        <v>5</v>
      </c>
      <c r="D207" s="203" t="s">
        <v>27</v>
      </c>
    </row>
    <row r="208" spans="1:4" x14ac:dyDescent="0.25">
      <c r="A208" s="48" t="s">
        <v>268</v>
      </c>
      <c r="B208" s="122">
        <v>13</v>
      </c>
      <c r="C208" s="289" t="s">
        <v>5</v>
      </c>
      <c r="D208" s="203" t="s">
        <v>133</v>
      </c>
    </row>
    <row r="209" spans="1:4" x14ac:dyDescent="0.25">
      <c r="A209" s="48" t="s">
        <v>269</v>
      </c>
      <c r="B209" s="122">
        <v>5</v>
      </c>
      <c r="C209" s="289" t="s">
        <v>5</v>
      </c>
      <c r="D209" s="203" t="s">
        <v>139</v>
      </c>
    </row>
    <row r="210" spans="1:4" ht="15.75" thickBot="1" x14ac:dyDescent="0.3">
      <c r="A210" s="89" t="s">
        <v>270</v>
      </c>
      <c r="B210" s="126">
        <v>7.8</v>
      </c>
      <c r="C210" s="303" t="s">
        <v>5</v>
      </c>
      <c r="D210" s="203" t="s">
        <v>333</v>
      </c>
    </row>
    <row r="211" spans="1:4" ht="15.75" thickBot="1" x14ac:dyDescent="0.3">
      <c r="D211" s="203"/>
    </row>
    <row r="212" spans="1:4" x14ac:dyDescent="0.25">
      <c r="A212" s="32" t="s">
        <v>300</v>
      </c>
      <c r="B212" s="304">
        <f>B215</f>
        <v>17.02</v>
      </c>
      <c r="C212" s="69"/>
      <c r="D212" s="203"/>
    </row>
    <row r="213" spans="1:4" x14ac:dyDescent="0.25">
      <c r="A213" s="48" t="s">
        <v>295</v>
      </c>
      <c r="B213" s="178">
        <f>COUNT(B217:B219)</f>
        <v>3</v>
      </c>
      <c r="C213" s="69"/>
      <c r="D213" s="203"/>
    </row>
    <row r="214" spans="1:4" x14ac:dyDescent="0.25">
      <c r="A214" s="48" t="s">
        <v>281</v>
      </c>
      <c r="B214" s="302">
        <f>STDEV(B217:B219)</f>
        <v>14.834126196038646</v>
      </c>
      <c r="C214" s="69"/>
      <c r="D214" s="203"/>
    </row>
    <row r="215" spans="1:4" x14ac:dyDescent="0.25">
      <c r="A215" s="48" t="s">
        <v>279</v>
      </c>
      <c r="B215" s="178">
        <f>AVERAGE(B217:B219)</f>
        <v>17.02</v>
      </c>
      <c r="D215" s="203"/>
    </row>
    <row r="216" spans="1:4" ht="15.75" thickBot="1" x14ac:dyDescent="0.3">
      <c r="A216" s="48" t="s">
        <v>283</v>
      </c>
      <c r="B216" s="302">
        <f>CONFIDENCE(0.05,B214,B213)</f>
        <v>16.786085580922958</v>
      </c>
      <c r="C216" s="69"/>
      <c r="D216" s="203"/>
    </row>
    <row r="217" spans="1:4" x14ac:dyDescent="0.25">
      <c r="A217" s="184" t="s">
        <v>93</v>
      </c>
      <c r="B217" s="283">
        <v>33.49</v>
      </c>
      <c r="C217" s="290" t="s">
        <v>5</v>
      </c>
      <c r="D217" s="203" t="s">
        <v>12</v>
      </c>
    </row>
    <row r="218" spans="1:4" x14ac:dyDescent="0.25">
      <c r="A218" s="86" t="s">
        <v>129</v>
      </c>
      <c r="B218" s="69">
        <v>4.71</v>
      </c>
      <c r="C218" s="289" t="s">
        <v>5</v>
      </c>
      <c r="D218" s="203" t="s">
        <v>145</v>
      </c>
    </row>
    <row r="219" spans="1:4" ht="15.75" thickBot="1" x14ac:dyDescent="0.3">
      <c r="A219" s="185" t="s">
        <v>144</v>
      </c>
      <c r="B219" s="332">
        <v>12.86</v>
      </c>
      <c r="C219" s="288" t="s">
        <v>5</v>
      </c>
      <c r="D219" s="203" t="s">
        <v>89</v>
      </c>
    </row>
    <row r="220" spans="1:4" x14ac:dyDescent="0.25">
      <c r="D220" s="203"/>
    </row>
    <row r="221" spans="1:4" x14ac:dyDescent="0.25">
      <c r="A221" s="97" t="s">
        <v>457</v>
      </c>
      <c r="B221" s="68">
        <f>133.08/3</f>
        <v>44.360000000000007</v>
      </c>
      <c r="C221" s="49" t="s">
        <v>5</v>
      </c>
      <c r="D221" s="203" t="s">
        <v>89</v>
      </c>
    </row>
    <row r="222" spans="1:4" ht="15.75" thickBot="1" x14ac:dyDescent="0.3">
      <c r="D222" s="203"/>
    </row>
    <row r="223" spans="1:4" x14ac:dyDescent="0.25">
      <c r="A223" s="32" t="s">
        <v>301</v>
      </c>
      <c r="B223" s="168">
        <f>B226</f>
        <v>22.3125</v>
      </c>
      <c r="C223" s="49"/>
      <c r="D223" s="203"/>
    </row>
    <row r="224" spans="1:4" x14ac:dyDescent="0.25">
      <c r="A224" s="48" t="s">
        <v>295</v>
      </c>
      <c r="B224" s="178">
        <f>COUNT(B228:B231)</f>
        <v>4</v>
      </c>
      <c r="C224" s="49"/>
      <c r="D224" s="203"/>
    </row>
    <row r="225" spans="1:4" x14ac:dyDescent="0.25">
      <c r="A225" s="48" t="s">
        <v>281</v>
      </c>
      <c r="B225" s="302">
        <f>STDEV(B228:B231)</f>
        <v>17.382384521884983</v>
      </c>
      <c r="C225" s="49"/>
      <c r="D225" s="203"/>
    </row>
    <row r="226" spans="1:4" x14ac:dyDescent="0.25">
      <c r="A226" s="48" t="s">
        <v>279</v>
      </c>
      <c r="B226" s="178">
        <f>AVERAGE(B228:B231)</f>
        <v>22.3125</v>
      </c>
      <c r="D226" s="203"/>
    </row>
    <row r="227" spans="1:4" ht="15.75" thickBot="1" x14ac:dyDescent="0.3">
      <c r="A227" s="48" t="s">
        <v>283</v>
      </c>
      <c r="B227" s="302">
        <f>CONFIDENCE(0.05,B225,B224)</f>
        <v>17.034423814160522</v>
      </c>
      <c r="C227" s="49"/>
      <c r="D227" s="203"/>
    </row>
    <row r="228" spans="1:4" x14ac:dyDescent="0.25">
      <c r="A228" s="87" t="s">
        <v>797</v>
      </c>
      <c r="B228" s="275">
        <v>6</v>
      </c>
      <c r="C228" s="134" t="s">
        <v>5</v>
      </c>
      <c r="D228" s="203" t="s">
        <v>372</v>
      </c>
    </row>
    <row r="229" spans="1:4" x14ac:dyDescent="0.25">
      <c r="A229" s="48" t="s">
        <v>798</v>
      </c>
      <c r="B229" s="122">
        <v>12</v>
      </c>
      <c r="C229" s="289" t="s">
        <v>5</v>
      </c>
      <c r="D229" s="203" t="s">
        <v>213</v>
      </c>
    </row>
    <row r="230" spans="1:4" s="8" customFormat="1" x14ac:dyDescent="0.25">
      <c r="A230" s="48" t="s">
        <v>799</v>
      </c>
      <c r="B230" s="36">
        <v>26.15</v>
      </c>
      <c r="C230" s="178" t="s">
        <v>5</v>
      </c>
      <c r="D230" s="203" t="s">
        <v>337</v>
      </c>
    </row>
    <row r="231" spans="1:4" ht="15.75" thickBot="1" x14ac:dyDescent="0.3">
      <c r="A231" s="89" t="s">
        <v>800</v>
      </c>
      <c r="B231" s="126">
        <v>45.1</v>
      </c>
      <c r="C231" s="303" t="s">
        <v>5</v>
      </c>
      <c r="D231" s="203" t="s">
        <v>196</v>
      </c>
    </row>
    <row r="232" spans="1:4" ht="15.75" thickBot="1" x14ac:dyDescent="0.3">
      <c r="D232" s="203"/>
    </row>
    <row r="233" spans="1:4" x14ac:dyDescent="0.25">
      <c r="A233" s="32" t="s">
        <v>302</v>
      </c>
      <c r="B233" s="166">
        <f>B236</f>
        <v>41.49</v>
      </c>
      <c r="C233" s="69"/>
      <c r="D233" s="203"/>
    </row>
    <row r="234" spans="1:4" x14ac:dyDescent="0.25">
      <c r="A234" s="48" t="s">
        <v>295</v>
      </c>
      <c r="B234" s="178">
        <f>COUNT(B238:B240)</f>
        <v>3</v>
      </c>
      <c r="C234" s="69"/>
      <c r="D234" s="203"/>
    </row>
    <row r="235" spans="1:4" x14ac:dyDescent="0.25">
      <c r="A235" s="48" t="s">
        <v>281</v>
      </c>
      <c r="B235" s="293">
        <f>STDEV(B238:B240)</f>
        <v>39.441928198301873</v>
      </c>
      <c r="C235" s="69"/>
      <c r="D235" s="203"/>
    </row>
    <row r="236" spans="1:4" x14ac:dyDescent="0.25">
      <c r="A236" s="48" t="s">
        <v>279</v>
      </c>
      <c r="B236" s="302">
        <f>AVERAGE(B238:B240)</f>
        <v>41.49</v>
      </c>
      <c r="D236" s="203"/>
    </row>
    <row r="237" spans="1:4" ht="15.75" thickBot="1" x14ac:dyDescent="0.3">
      <c r="A237" s="48" t="s">
        <v>283</v>
      </c>
      <c r="B237" s="302">
        <f>CONFIDENCE(0.05,B235,B234)</f>
        <v>44.631923273655069</v>
      </c>
      <c r="C237" s="69"/>
      <c r="D237" s="203"/>
    </row>
    <row r="238" spans="1:4" x14ac:dyDescent="0.25">
      <c r="A238" s="87" t="s">
        <v>157</v>
      </c>
      <c r="B238" s="275">
        <v>17.46</v>
      </c>
      <c r="C238" s="134" t="s">
        <v>5</v>
      </c>
      <c r="D238" s="203" t="s">
        <v>27</v>
      </c>
    </row>
    <row r="239" spans="1:4" x14ac:dyDescent="0.25">
      <c r="A239" s="48" t="s">
        <v>158</v>
      </c>
      <c r="B239" s="36">
        <v>87.01</v>
      </c>
      <c r="C239" s="178" t="s">
        <v>5</v>
      </c>
      <c r="D239" s="203" t="s">
        <v>89</v>
      </c>
    </row>
    <row r="240" spans="1:4" ht="15.75" thickBot="1" x14ac:dyDescent="0.3">
      <c r="A240" s="89" t="s">
        <v>376</v>
      </c>
      <c r="B240" s="126">
        <v>20</v>
      </c>
      <c r="C240" s="303" t="s">
        <v>5</v>
      </c>
      <c r="D240" s="203" t="s">
        <v>125</v>
      </c>
    </row>
    <row r="241" spans="1:4" ht="15.75" thickBot="1" x14ac:dyDescent="0.3">
      <c r="D241" s="203"/>
    </row>
    <row r="242" spans="1:4" x14ac:dyDescent="0.25">
      <c r="A242" s="39" t="s">
        <v>613</v>
      </c>
      <c r="B242" s="166">
        <f>B245</f>
        <v>6</v>
      </c>
      <c r="C242" s="69"/>
      <c r="D242" s="203"/>
    </row>
    <row r="243" spans="1:4" x14ac:dyDescent="0.25">
      <c r="A243" s="48" t="s">
        <v>295</v>
      </c>
      <c r="B243" s="178">
        <f>COUNT(B247:B248)</f>
        <v>2</v>
      </c>
      <c r="C243" s="49"/>
      <c r="D243" s="203"/>
    </row>
    <row r="244" spans="1:4" x14ac:dyDescent="0.25">
      <c r="A244" s="48" t="s">
        <v>281</v>
      </c>
      <c r="B244" s="302">
        <f>STDEV(B247:B248)</f>
        <v>2.8284271247461903</v>
      </c>
      <c r="C244" s="49"/>
      <c r="D244" s="203"/>
    </row>
    <row r="245" spans="1:4" x14ac:dyDescent="0.25">
      <c r="A245" s="48" t="s">
        <v>279</v>
      </c>
      <c r="B245" s="302">
        <f>AVERAGE(B247:B248)</f>
        <v>6</v>
      </c>
      <c r="D245" s="203"/>
    </row>
    <row r="246" spans="1:4" ht="15.75" thickBot="1" x14ac:dyDescent="0.3">
      <c r="A246" s="48" t="s">
        <v>283</v>
      </c>
      <c r="B246" s="302">
        <f>CONFIDENCE(0.05,B244,B243)</f>
        <v>3.9199279690801072</v>
      </c>
      <c r="C246" s="49"/>
      <c r="D246" s="203"/>
    </row>
    <row r="247" spans="1:4" x14ac:dyDescent="0.25">
      <c r="A247" s="87" t="s">
        <v>615</v>
      </c>
      <c r="B247" s="187">
        <v>4</v>
      </c>
      <c r="C247" s="134" t="s">
        <v>616</v>
      </c>
      <c r="D247" s="203" t="s">
        <v>373</v>
      </c>
    </row>
    <row r="248" spans="1:4" s="8" customFormat="1" ht="15.75" thickBot="1" x14ac:dyDescent="0.3">
      <c r="A248" s="185" t="s">
        <v>614</v>
      </c>
      <c r="B248" s="126">
        <v>8</v>
      </c>
      <c r="C248" s="303" t="s">
        <v>616</v>
      </c>
      <c r="D248" s="203" t="s">
        <v>213</v>
      </c>
    </row>
    <row r="249" spans="1:4" ht="15.75" thickBot="1" x14ac:dyDescent="0.3">
      <c r="D249" s="203"/>
    </row>
    <row r="250" spans="1:4" x14ac:dyDescent="0.25">
      <c r="A250" s="32" t="s">
        <v>303</v>
      </c>
      <c r="B250" s="304">
        <f>B253</f>
        <v>52.333333333333336</v>
      </c>
      <c r="C250" s="97"/>
      <c r="D250" s="203"/>
    </row>
    <row r="251" spans="1:4" x14ac:dyDescent="0.25">
      <c r="A251" s="48" t="s">
        <v>295</v>
      </c>
      <c r="B251" s="178">
        <f>COUNT(B255:B257)</f>
        <v>3</v>
      </c>
      <c r="C251" s="49"/>
      <c r="D251" s="203"/>
    </row>
    <row r="252" spans="1:4" x14ac:dyDescent="0.25">
      <c r="A252" s="48" t="s">
        <v>281</v>
      </c>
      <c r="B252" s="302">
        <f>STDEV(B255:B257)</f>
        <v>31.564748269760255</v>
      </c>
      <c r="C252" s="49"/>
      <c r="D252" s="203"/>
    </row>
    <row r="253" spans="1:4" x14ac:dyDescent="0.25">
      <c r="A253" s="48" t="s">
        <v>279</v>
      </c>
      <c r="B253" s="301">
        <f>AVERAGE(B255:B257)</f>
        <v>52.333333333333336</v>
      </c>
      <c r="D253" s="203"/>
    </row>
    <row r="254" spans="1:4" ht="15.75" thickBot="1" x14ac:dyDescent="0.3">
      <c r="A254" s="48" t="s">
        <v>283</v>
      </c>
      <c r="B254" s="302">
        <f>CONFIDENCE(0.05,B252,B251)</f>
        <v>35.718218841766223</v>
      </c>
      <c r="C254" s="69"/>
      <c r="D254" s="203"/>
    </row>
    <row r="255" spans="1:4" x14ac:dyDescent="0.25">
      <c r="A255" s="184" t="s">
        <v>171</v>
      </c>
      <c r="B255" s="283">
        <v>85</v>
      </c>
      <c r="C255" s="290" t="s">
        <v>5</v>
      </c>
      <c r="D255" s="203" t="s">
        <v>328</v>
      </c>
    </row>
    <row r="256" spans="1:4" x14ac:dyDescent="0.25">
      <c r="A256" s="86" t="s">
        <v>172</v>
      </c>
      <c r="B256" s="69">
        <v>50</v>
      </c>
      <c r="C256" s="289" t="s">
        <v>5</v>
      </c>
      <c r="D256" s="203" t="s">
        <v>202</v>
      </c>
    </row>
    <row r="257" spans="1:7" x14ac:dyDescent="0.25">
      <c r="A257" s="86" t="s">
        <v>197</v>
      </c>
      <c r="B257" s="69">
        <v>22</v>
      </c>
      <c r="C257" s="289" t="s">
        <v>5</v>
      </c>
      <c r="D257" s="203" t="s">
        <v>125</v>
      </c>
    </row>
    <row r="258" spans="1:7" ht="15.75" thickBot="1" x14ac:dyDescent="0.3">
      <c r="A258" s="185" t="s">
        <v>206</v>
      </c>
      <c r="B258" s="335">
        <v>35.5</v>
      </c>
      <c r="C258" s="303" t="s">
        <v>5</v>
      </c>
      <c r="D258" s="203" t="s">
        <v>333</v>
      </c>
    </row>
    <row r="259" spans="1:7" s="71" customFormat="1" x14ac:dyDescent="0.25">
      <c r="A259" s="86"/>
      <c r="B259" s="69"/>
      <c r="C259" s="69"/>
      <c r="D259" s="203"/>
    </row>
    <row r="260" spans="1:7" s="71" customFormat="1" x14ac:dyDescent="0.25">
      <c r="A260" s="195" t="s">
        <v>606</v>
      </c>
      <c r="B260" s="69"/>
      <c r="C260" s="69"/>
      <c r="D260" s="203"/>
    </row>
    <row r="261" spans="1:7" s="71" customFormat="1" x14ac:dyDescent="0.25">
      <c r="A261" s="69" t="s">
        <v>608</v>
      </c>
      <c r="B261" s="68">
        <v>0.10100000000000001</v>
      </c>
      <c r="C261" s="69" t="s">
        <v>609</v>
      </c>
      <c r="D261" s="203" t="s">
        <v>333</v>
      </c>
    </row>
    <row r="262" spans="1:7" s="71" customFormat="1" x14ac:dyDescent="0.25">
      <c r="A262" s="86"/>
      <c r="B262" s="69"/>
      <c r="C262" s="69"/>
      <c r="D262" s="203"/>
    </row>
    <row r="263" spans="1:7" ht="15.75" thickBot="1" x14ac:dyDescent="0.3">
      <c r="A263" s="195" t="s">
        <v>383</v>
      </c>
      <c r="D263" s="203"/>
    </row>
    <row r="264" spans="1:7" x14ac:dyDescent="0.25">
      <c r="A264" s="39" t="s">
        <v>286</v>
      </c>
      <c r="B264" s="362">
        <f>B267</f>
        <v>292.90285714285716</v>
      </c>
      <c r="C264" s="349"/>
      <c r="D264" s="203"/>
      <c r="E264" s="71"/>
    </row>
    <row r="265" spans="1:7" x14ac:dyDescent="0.25">
      <c r="A265" s="86" t="s">
        <v>280</v>
      </c>
      <c r="B265" s="350">
        <f>COUNT(B269:B275)</f>
        <v>7</v>
      </c>
      <c r="C265" s="349"/>
      <c r="D265" s="203"/>
      <c r="E265" s="71"/>
    </row>
    <row r="266" spans="1:7" x14ac:dyDescent="0.25">
      <c r="A266" s="86" t="s">
        <v>281</v>
      </c>
      <c r="B266" s="345">
        <f>STDEV(B269:B275)</f>
        <v>66.253161362127983</v>
      </c>
      <c r="C266" s="349"/>
      <c r="D266" s="203"/>
      <c r="E266" s="71"/>
    </row>
    <row r="267" spans="1:7" x14ac:dyDescent="0.25">
      <c r="A267" s="86" t="s">
        <v>279</v>
      </c>
      <c r="B267" s="351">
        <f>AVERAGE(B269:B275)</f>
        <v>292.90285714285716</v>
      </c>
      <c r="C267" s="203"/>
      <c r="D267" s="203"/>
      <c r="E267" s="71"/>
    </row>
    <row r="268" spans="1:7" ht="15.75" thickBot="1" x14ac:dyDescent="0.3">
      <c r="A268" s="86" t="s">
        <v>283</v>
      </c>
      <c r="B268" s="351">
        <f>CONFIDENCE(0.05,B266,B265)</f>
        <v>49.080126914665016</v>
      </c>
      <c r="C268" s="339"/>
      <c r="D268" s="203"/>
      <c r="E268" s="8"/>
      <c r="F268" s="8"/>
      <c r="G268" s="8"/>
    </row>
    <row r="269" spans="1:7" s="71" customFormat="1" x14ac:dyDescent="0.25">
      <c r="A269" s="184" t="s">
        <v>70</v>
      </c>
      <c r="B269" s="354">
        <v>250</v>
      </c>
      <c r="C269" s="241" t="s">
        <v>5</v>
      </c>
      <c r="D269" s="203" t="s">
        <v>811</v>
      </c>
      <c r="E269" s="8"/>
      <c r="F269" s="8"/>
      <c r="G269" s="8"/>
    </row>
    <row r="270" spans="1:7" s="71" customFormat="1" x14ac:dyDescent="0.25">
      <c r="A270" s="86" t="s">
        <v>71</v>
      </c>
      <c r="B270" s="352">
        <v>279.10000000000002</v>
      </c>
      <c r="C270" s="308" t="s">
        <v>5</v>
      </c>
      <c r="D270" s="203" t="s">
        <v>810</v>
      </c>
      <c r="E270" s="8"/>
      <c r="F270" s="8"/>
      <c r="G270" s="8"/>
    </row>
    <row r="271" spans="1:7" x14ac:dyDescent="0.25">
      <c r="A271" s="86" t="s">
        <v>72</v>
      </c>
      <c r="B271" s="357">
        <v>323.2</v>
      </c>
      <c r="C271" s="308" t="s">
        <v>5</v>
      </c>
      <c r="D271" s="203" t="s">
        <v>242</v>
      </c>
      <c r="E271" s="8"/>
      <c r="F271" s="8"/>
      <c r="G271" s="8"/>
    </row>
    <row r="272" spans="1:7" x14ac:dyDescent="0.25">
      <c r="A272" s="86" t="s">
        <v>73</v>
      </c>
      <c r="B272" s="357">
        <v>267</v>
      </c>
      <c r="C272" s="308" t="s">
        <v>5</v>
      </c>
      <c r="D272" s="203" t="s">
        <v>89</v>
      </c>
      <c r="E272" s="8"/>
      <c r="F272" s="8"/>
      <c r="G272" s="8"/>
    </row>
    <row r="273" spans="1:7" x14ac:dyDescent="0.25">
      <c r="A273" s="86" t="s">
        <v>74</v>
      </c>
      <c r="B273" s="357">
        <v>302.62</v>
      </c>
      <c r="C273" s="308" t="s">
        <v>5</v>
      </c>
      <c r="D273" s="203" t="s">
        <v>274</v>
      </c>
      <c r="E273" s="8"/>
      <c r="F273" s="8"/>
      <c r="G273" s="8"/>
    </row>
    <row r="274" spans="1:7" x14ac:dyDescent="0.25">
      <c r="A274" s="86" t="s">
        <v>801</v>
      </c>
      <c r="B274" s="357">
        <v>210</v>
      </c>
      <c r="C274" s="308" t="s">
        <v>5</v>
      </c>
      <c r="D274" s="203" t="s">
        <v>818</v>
      </c>
      <c r="E274" s="8"/>
      <c r="F274" s="8"/>
      <c r="G274" s="8"/>
    </row>
    <row r="275" spans="1:7" ht="15.75" thickBot="1" x14ac:dyDescent="0.3">
      <c r="A275" s="185" t="s">
        <v>815</v>
      </c>
      <c r="B275" s="361">
        <v>418.4</v>
      </c>
      <c r="C275" s="353" t="s">
        <v>5</v>
      </c>
      <c r="D275" s="203" t="s">
        <v>337</v>
      </c>
      <c r="E275" s="8"/>
    </row>
    <row r="276" spans="1:7" s="71" customFormat="1" x14ac:dyDescent="0.25">
      <c r="A276" s="69"/>
      <c r="B276" s="352"/>
      <c r="C276" s="349"/>
      <c r="D276" s="203"/>
      <c r="E276" s="8"/>
    </row>
    <row r="277" spans="1:7" s="71" customFormat="1" ht="15.75" thickBot="1" x14ac:dyDescent="0.3">
      <c r="A277" s="103" t="s">
        <v>961</v>
      </c>
      <c r="B277" s="307"/>
      <c r="C277" s="139"/>
      <c r="D277" s="203"/>
    </row>
    <row r="278" spans="1:7" s="71" customFormat="1" x14ac:dyDescent="0.25">
      <c r="A278" s="310" t="s">
        <v>964</v>
      </c>
      <c r="B278" s="283">
        <v>395</v>
      </c>
      <c r="C278" s="306" t="s">
        <v>966</v>
      </c>
      <c r="D278" s="203" t="s">
        <v>125</v>
      </c>
    </row>
    <row r="279" spans="1:7" s="71" customFormat="1" x14ac:dyDescent="0.25">
      <c r="A279" s="371" t="s">
        <v>965</v>
      </c>
      <c r="B279" s="69">
        <v>454</v>
      </c>
      <c r="C279" s="145" t="s">
        <v>966</v>
      </c>
      <c r="D279" s="203" t="s">
        <v>942</v>
      </c>
    </row>
    <row r="280" spans="1:7" s="71" customFormat="1" x14ac:dyDescent="0.25">
      <c r="A280" s="371" t="s">
        <v>997</v>
      </c>
      <c r="B280" s="69">
        <v>474</v>
      </c>
      <c r="C280" s="145" t="s">
        <v>966</v>
      </c>
      <c r="D280" s="203" t="s">
        <v>998</v>
      </c>
    </row>
    <row r="281" spans="1:7" s="71" customFormat="1" x14ac:dyDescent="0.25">
      <c r="A281" s="205" t="s">
        <v>214</v>
      </c>
      <c r="B281" s="373">
        <v>238</v>
      </c>
      <c r="C281" s="145" t="s">
        <v>966</v>
      </c>
      <c r="D281" s="203" t="s">
        <v>213</v>
      </c>
    </row>
    <row r="282" spans="1:7" s="71" customFormat="1" x14ac:dyDescent="0.25">
      <c r="A282" s="205" t="s">
        <v>215</v>
      </c>
      <c r="B282" s="373">
        <v>130</v>
      </c>
      <c r="C282" s="145" t="s">
        <v>966</v>
      </c>
      <c r="D282" s="203" t="s">
        <v>213</v>
      </c>
    </row>
    <row r="283" spans="1:7" s="71" customFormat="1" x14ac:dyDescent="0.25">
      <c r="A283" s="48" t="s">
        <v>962</v>
      </c>
      <c r="B283" s="307">
        <v>276</v>
      </c>
      <c r="C283" s="145" t="s">
        <v>966</v>
      </c>
      <c r="D283" s="203" t="s">
        <v>942</v>
      </c>
    </row>
    <row r="284" spans="1:7" s="71" customFormat="1" x14ac:dyDescent="0.25">
      <c r="A284" s="48" t="s">
        <v>963</v>
      </c>
      <c r="B284" s="307">
        <v>150</v>
      </c>
      <c r="C284" s="145" t="s">
        <v>966</v>
      </c>
      <c r="D284" s="203" t="s">
        <v>942</v>
      </c>
    </row>
    <row r="285" spans="1:7" s="71" customFormat="1" x14ac:dyDescent="0.25">
      <c r="A285" s="48" t="s">
        <v>967</v>
      </c>
      <c r="B285" s="307">
        <v>150</v>
      </c>
      <c r="C285" s="145" t="s">
        <v>966</v>
      </c>
      <c r="D285" s="203" t="s">
        <v>942</v>
      </c>
    </row>
    <row r="286" spans="1:7" s="71" customFormat="1" x14ac:dyDescent="0.25">
      <c r="A286" s="86" t="s">
        <v>968</v>
      </c>
      <c r="B286" s="307">
        <v>220</v>
      </c>
      <c r="C286" s="145" t="s">
        <v>966</v>
      </c>
      <c r="D286" s="203" t="s">
        <v>942</v>
      </c>
    </row>
    <row r="287" spans="1:7" s="71" customFormat="1" x14ac:dyDescent="0.25">
      <c r="A287" s="86" t="s">
        <v>969</v>
      </c>
      <c r="B287" s="307">
        <v>434</v>
      </c>
      <c r="C287" s="145" t="s">
        <v>966</v>
      </c>
      <c r="D287" s="203" t="s">
        <v>942</v>
      </c>
    </row>
    <row r="288" spans="1:7" s="71" customFormat="1" x14ac:dyDescent="0.25">
      <c r="A288" s="86" t="s">
        <v>999</v>
      </c>
      <c r="B288" s="307">
        <v>295</v>
      </c>
      <c r="C288" s="145" t="s">
        <v>966</v>
      </c>
      <c r="D288" s="203" t="s">
        <v>942</v>
      </c>
    </row>
    <row r="289" spans="1:4" s="71" customFormat="1" x14ac:dyDescent="0.25">
      <c r="A289" s="86" t="s">
        <v>1000</v>
      </c>
      <c r="B289" s="71">
        <v>315</v>
      </c>
      <c r="C289" s="14" t="s">
        <v>5</v>
      </c>
      <c r="D289" s="203" t="s">
        <v>998</v>
      </c>
    </row>
    <row r="290" spans="1:4" s="71" customFormat="1" x14ac:dyDescent="0.25">
      <c r="A290" s="86" t="s">
        <v>970</v>
      </c>
      <c r="B290" s="307">
        <v>85</v>
      </c>
      <c r="C290" s="145" t="s">
        <v>966</v>
      </c>
      <c r="D290" s="203" t="s">
        <v>942</v>
      </c>
    </row>
    <row r="291" spans="1:4" s="71" customFormat="1" x14ac:dyDescent="0.25">
      <c r="A291" s="86" t="s">
        <v>971</v>
      </c>
      <c r="B291" s="307">
        <v>130</v>
      </c>
      <c r="C291" s="145" t="s">
        <v>966</v>
      </c>
      <c r="D291" s="203" t="s">
        <v>942</v>
      </c>
    </row>
    <row r="292" spans="1:4" s="71" customFormat="1" x14ac:dyDescent="0.25">
      <c r="A292" s="86" t="s">
        <v>972</v>
      </c>
      <c r="B292" s="307">
        <v>150</v>
      </c>
      <c r="C292" s="145" t="s">
        <v>966</v>
      </c>
      <c r="D292" s="203" t="s">
        <v>942</v>
      </c>
    </row>
    <row r="293" spans="1:4" s="71" customFormat="1" x14ac:dyDescent="0.25">
      <c r="A293" s="86" t="s">
        <v>973</v>
      </c>
      <c r="B293" s="307">
        <v>201</v>
      </c>
      <c r="C293" s="145" t="s">
        <v>966</v>
      </c>
      <c r="D293" s="203" t="s">
        <v>942</v>
      </c>
    </row>
    <row r="294" spans="1:4" s="71" customFormat="1" x14ac:dyDescent="0.25">
      <c r="A294" s="86" t="s">
        <v>974</v>
      </c>
      <c r="B294" s="307">
        <v>150</v>
      </c>
      <c r="C294" s="145" t="s">
        <v>966</v>
      </c>
      <c r="D294" s="203" t="s">
        <v>942</v>
      </c>
    </row>
    <row r="295" spans="1:4" s="71" customFormat="1" x14ac:dyDescent="0.25">
      <c r="A295" s="86" t="s">
        <v>975</v>
      </c>
      <c r="B295" s="307">
        <v>160</v>
      </c>
      <c r="C295" s="145" t="s">
        <v>966</v>
      </c>
      <c r="D295" s="203" t="s">
        <v>942</v>
      </c>
    </row>
    <row r="296" spans="1:4" s="71" customFormat="1" x14ac:dyDescent="0.25">
      <c r="A296" s="86" t="s">
        <v>976</v>
      </c>
      <c r="B296" s="307">
        <v>150</v>
      </c>
      <c r="C296" s="145" t="s">
        <v>966</v>
      </c>
      <c r="D296" s="203" t="s">
        <v>942</v>
      </c>
    </row>
    <row r="297" spans="1:4" s="71" customFormat="1" x14ac:dyDescent="0.25">
      <c r="A297" s="86" t="s">
        <v>977</v>
      </c>
      <c r="B297" s="307">
        <v>150</v>
      </c>
      <c r="C297" s="145" t="s">
        <v>966</v>
      </c>
      <c r="D297" s="203" t="s">
        <v>942</v>
      </c>
    </row>
    <row r="298" spans="1:4" s="71" customFormat="1" x14ac:dyDescent="0.25">
      <c r="A298" s="86" t="s">
        <v>978</v>
      </c>
      <c r="B298" s="307">
        <v>141</v>
      </c>
      <c r="C298" s="145" t="s">
        <v>966</v>
      </c>
      <c r="D298" s="203" t="s">
        <v>942</v>
      </c>
    </row>
    <row r="299" spans="1:4" s="71" customFormat="1" x14ac:dyDescent="0.25">
      <c r="A299" s="86" t="s">
        <v>979</v>
      </c>
      <c r="B299" s="307">
        <v>278</v>
      </c>
      <c r="C299" s="145" t="s">
        <v>966</v>
      </c>
      <c r="D299" s="203" t="s">
        <v>942</v>
      </c>
    </row>
    <row r="300" spans="1:4" s="71" customFormat="1" x14ac:dyDescent="0.25">
      <c r="A300" s="86" t="s">
        <v>980</v>
      </c>
      <c r="B300" s="307">
        <v>150</v>
      </c>
      <c r="C300" s="145" t="s">
        <v>966</v>
      </c>
      <c r="D300" s="203" t="s">
        <v>942</v>
      </c>
    </row>
    <row r="301" spans="1:4" s="71" customFormat="1" x14ac:dyDescent="0.25">
      <c r="A301" s="86" t="s">
        <v>981</v>
      </c>
      <c r="B301" s="307">
        <v>150</v>
      </c>
      <c r="C301" s="145" t="s">
        <v>966</v>
      </c>
      <c r="D301" s="203" t="s">
        <v>942</v>
      </c>
    </row>
    <row r="302" spans="1:4" s="71" customFormat="1" x14ac:dyDescent="0.25">
      <c r="A302" s="86" t="s">
        <v>982</v>
      </c>
      <c r="B302" s="307">
        <v>366</v>
      </c>
      <c r="C302" s="145" t="s">
        <v>966</v>
      </c>
      <c r="D302" s="203" t="s">
        <v>942</v>
      </c>
    </row>
    <row r="303" spans="1:4" s="71" customFormat="1" x14ac:dyDescent="0.25">
      <c r="A303" s="86" t="s">
        <v>983</v>
      </c>
      <c r="B303" s="307">
        <v>200</v>
      </c>
      <c r="C303" s="145" t="s">
        <v>966</v>
      </c>
      <c r="D303" s="203" t="s">
        <v>942</v>
      </c>
    </row>
    <row r="304" spans="1:4" s="71" customFormat="1" x14ac:dyDescent="0.25">
      <c r="A304" s="86" t="s">
        <v>984</v>
      </c>
      <c r="B304" s="307">
        <v>190</v>
      </c>
      <c r="C304" s="145" t="s">
        <v>966</v>
      </c>
      <c r="D304" s="203" t="s">
        <v>942</v>
      </c>
    </row>
    <row r="305" spans="1:12" s="71" customFormat="1" x14ac:dyDescent="0.25">
      <c r="A305" s="86" t="s">
        <v>985</v>
      </c>
      <c r="B305" s="307">
        <v>200</v>
      </c>
      <c r="C305" s="145" t="s">
        <v>966</v>
      </c>
      <c r="D305" s="203" t="s">
        <v>942</v>
      </c>
    </row>
    <row r="306" spans="1:12" s="71" customFormat="1" x14ac:dyDescent="0.25">
      <c r="A306" s="86" t="s">
        <v>986</v>
      </c>
      <c r="B306" s="307">
        <v>200</v>
      </c>
      <c r="C306" s="145" t="s">
        <v>966</v>
      </c>
      <c r="D306" s="203" t="s">
        <v>942</v>
      </c>
    </row>
    <row r="307" spans="1:12" s="71" customFormat="1" ht="15.75" thickBot="1" x14ac:dyDescent="0.3">
      <c r="A307" s="185" t="s">
        <v>987</v>
      </c>
      <c r="B307" s="372">
        <v>290</v>
      </c>
      <c r="C307" s="309" t="s">
        <v>966</v>
      </c>
      <c r="D307" s="203" t="s">
        <v>942</v>
      </c>
    </row>
    <row r="308" spans="1:12" s="71" customFormat="1" ht="15.75" thickBot="1" x14ac:dyDescent="0.3">
      <c r="A308" s="69"/>
      <c r="B308" s="307"/>
      <c r="C308" s="139"/>
      <c r="D308" s="203"/>
    </row>
    <row r="309" spans="1:12" s="71" customFormat="1" x14ac:dyDescent="0.25">
      <c r="A309" s="39" t="s">
        <v>285</v>
      </c>
      <c r="B309" s="358">
        <f>B312</f>
        <v>312.15666666666669</v>
      </c>
      <c r="C309" s="339"/>
      <c r="D309" s="203"/>
      <c r="E309" s="50"/>
      <c r="F309"/>
      <c r="K309"/>
      <c r="L309"/>
    </row>
    <row r="310" spans="1:12" s="71" customFormat="1" x14ac:dyDescent="0.25">
      <c r="A310" s="86" t="s">
        <v>280</v>
      </c>
      <c r="B310" s="308">
        <f>COUNT(B314:B319)</f>
        <v>6</v>
      </c>
      <c r="C310" s="339"/>
      <c r="D310" s="203"/>
      <c r="E310" s="50"/>
      <c r="F310"/>
      <c r="K310"/>
      <c r="L310"/>
    </row>
    <row r="311" spans="1:12" s="71" customFormat="1" x14ac:dyDescent="0.25">
      <c r="A311" s="86" t="s">
        <v>281</v>
      </c>
      <c r="B311" s="359">
        <f>STDEV(B314:B319)</f>
        <v>59.58180852128158</v>
      </c>
      <c r="C311" s="339"/>
      <c r="D311" s="203"/>
      <c r="E311" s="50"/>
      <c r="F311"/>
      <c r="K311"/>
      <c r="L311"/>
    </row>
    <row r="312" spans="1:12" s="71" customFormat="1" x14ac:dyDescent="0.25">
      <c r="A312" s="86" t="s">
        <v>279</v>
      </c>
      <c r="B312" s="348">
        <f>AVERAGE(B314:B319)</f>
        <v>312.15666666666669</v>
      </c>
      <c r="C312" s="203"/>
      <c r="D312" s="203"/>
      <c r="F312"/>
      <c r="G312"/>
      <c r="H312"/>
      <c r="I312"/>
      <c r="J312"/>
      <c r="K312"/>
    </row>
    <row r="313" spans="1:12" s="71" customFormat="1" ht="15.75" thickBot="1" x14ac:dyDescent="0.3">
      <c r="A313" s="86" t="s">
        <v>283</v>
      </c>
      <c r="B313" s="359">
        <f>CONFIDENCE(0.05,B311,B310)</f>
        <v>47.674500038031162</v>
      </c>
      <c r="C313" s="360"/>
      <c r="D313" s="203"/>
      <c r="E313" s="46"/>
      <c r="F313"/>
      <c r="G313"/>
      <c r="H313"/>
      <c r="I313"/>
      <c r="J313"/>
      <c r="K313"/>
    </row>
    <row r="314" spans="1:12" s="71" customFormat="1" x14ac:dyDescent="0.25">
      <c r="A314" s="184" t="s">
        <v>66</v>
      </c>
      <c r="B314" s="355">
        <v>250</v>
      </c>
      <c r="C314" s="241" t="s">
        <v>5</v>
      </c>
      <c r="D314" s="203" t="s">
        <v>811</v>
      </c>
      <c r="E314" s="46"/>
    </row>
    <row r="315" spans="1:12" s="71" customFormat="1" x14ac:dyDescent="0.25">
      <c r="A315" s="86" t="s">
        <v>67</v>
      </c>
      <c r="B315" s="356">
        <v>279.10000000000002</v>
      </c>
      <c r="C315" s="308" t="s">
        <v>5</v>
      </c>
      <c r="D315" s="203" t="s">
        <v>810</v>
      </c>
      <c r="E315" s="46"/>
    </row>
    <row r="316" spans="1:12" x14ac:dyDescent="0.25">
      <c r="A316" s="48" t="s">
        <v>68</v>
      </c>
      <c r="B316" s="299">
        <v>338</v>
      </c>
      <c r="C316" s="145" t="s">
        <v>5</v>
      </c>
      <c r="D316" s="203" t="s">
        <v>242</v>
      </c>
    </row>
    <row r="317" spans="1:12" x14ac:dyDescent="0.25">
      <c r="A317" s="48" t="s">
        <v>69</v>
      </c>
      <c r="B317" s="299">
        <v>284.82</v>
      </c>
      <c r="C317" s="145" t="s">
        <v>5</v>
      </c>
      <c r="D317" s="203" t="s">
        <v>89</v>
      </c>
    </row>
    <row r="318" spans="1:12" x14ac:dyDescent="0.25">
      <c r="A318" s="48" t="s">
        <v>816</v>
      </c>
      <c r="B318" s="299">
        <v>302.62</v>
      </c>
      <c r="C318" s="145" t="s">
        <v>5</v>
      </c>
      <c r="D318" s="203" t="s">
        <v>274</v>
      </c>
    </row>
    <row r="319" spans="1:12" ht="15.75" thickBot="1" x14ac:dyDescent="0.3">
      <c r="A319" s="89" t="s">
        <v>817</v>
      </c>
      <c r="B319" s="311">
        <v>418.4</v>
      </c>
      <c r="C319" s="309" t="s">
        <v>5</v>
      </c>
      <c r="D319" s="203" t="s">
        <v>337</v>
      </c>
    </row>
    <row r="320" spans="1:12" x14ac:dyDescent="0.25">
      <c r="B320" s="292"/>
      <c r="D320" s="203"/>
    </row>
    <row r="321" spans="1:6" s="71" customFormat="1" ht="15.75" thickBot="1" x14ac:dyDescent="0.3">
      <c r="A321" s="103" t="s">
        <v>988</v>
      </c>
      <c r="B321" s="292"/>
      <c r="C321" s="50"/>
      <c r="D321" s="203"/>
    </row>
    <row r="322" spans="1:6" s="71" customFormat="1" x14ac:dyDescent="0.25">
      <c r="A322" s="184" t="s">
        <v>989</v>
      </c>
      <c r="B322" s="275">
        <v>250</v>
      </c>
      <c r="C322" s="306" t="s">
        <v>966</v>
      </c>
      <c r="D322" s="203" t="s">
        <v>942</v>
      </c>
    </row>
    <row r="323" spans="1:6" s="71" customFormat="1" x14ac:dyDescent="0.25">
      <c r="A323" s="86" t="s">
        <v>990</v>
      </c>
      <c r="B323" s="36">
        <v>200</v>
      </c>
      <c r="C323" s="145" t="s">
        <v>966</v>
      </c>
      <c r="D323" s="203" t="s">
        <v>942</v>
      </c>
    </row>
    <row r="324" spans="1:6" s="71" customFormat="1" x14ac:dyDescent="0.25">
      <c r="A324" s="86" t="s">
        <v>991</v>
      </c>
      <c r="B324" s="36">
        <v>200</v>
      </c>
      <c r="C324" s="145" t="s">
        <v>966</v>
      </c>
      <c r="D324" s="203" t="s">
        <v>942</v>
      </c>
    </row>
    <row r="325" spans="1:6" s="71" customFormat="1" x14ac:dyDescent="0.25">
      <c r="A325" s="86" t="s">
        <v>992</v>
      </c>
      <c r="B325" s="36">
        <v>200</v>
      </c>
      <c r="C325" s="145" t="s">
        <v>966</v>
      </c>
      <c r="D325" s="203" t="s">
        <v>942</v>
      </c>
    </row>
    <row r="326" spans="1:6" s="71" customFormat="1" ht="15.75" thickBot="1" x14ac:dyDescent="0.3">
      <c r="A326" s="185" t="s">
        <v>993</v>
      </c>
      <c r="B326" s="138">
        <v>454</v>
      </c>
      <c r="C326" s="309" t="s">
        <v>966</v>
      </c>
      <c r="D326" s="203" t="s">
        <v>942</v>
      </c>
    </row>
    <row r="327" spans="1:6" s="71" customFormat="1" x14ac:dyDescent="0.25">
      <c r="A327" s="50"/>
      <c r="B327" s="292"/>
      <c r="C327" s="50"/>
      <c r="D327" s="203"/>
    </row>
    <row r="328" spans="1:6" s="71" customFormat="1" ht="15.75" thickBot="1" x14ac:dyDescent="0.3">
      <c r="A328" s="1" t="s">
        <v>994</v>
      </c>
      <c r="B328" s="292"/>
      <c r="C328" s="50"/>
      <c r="D328" s="203"/>
    </row>
    <row r="329" spans="1:6" s="71" customFormat="1" x14ac:dyDescent="0.25">
      <c r="A329" s="87" t="s">
        <v>995</v>
      </c>
      <c r="B329" s="275">
        <v>397</v>
      </c>
      <c r="C329" s="306" t="s">
        <v>966</v>
      </c>
      <c r="D329" s="203" t="s">
        <v>942</v>
      </c>
    </row>
    <row r="330" spans="1:6" s="71" customFormat="1" ht="15.75" thickBot="1" x14ac:dyDescent="0.3">
      <c r="A330" s="89" t="s">
        <v>996</v>
      </c>
      <c r="B330" s="138">
        <v>355</v>
      </c>
      <c r="C330" s="309" t="s">
        <v>966</v>
      </c>
      <c r="D330" s="203" t="s">
        <v>942</v>
      </c>
    </row>
    <row r="331" spans="1:6" s="71" customFormat="1" x14ac:dyDescent="0.25">
      <c r="A331" s="50"/>
      <c r="B331" s="292"/>
      <c r="C331" s="50"/>
      <c r="D331" s="203"/>
    </row>
    <row r="332" spans="1:6" x14ac:dyDescent="0.25">
      <c r="A332" s="1" t="s">
        <v>384</v>
      </c>
      <c r="D332" s="203"/>
    </row>
    <row r="333" spans="1:6" ht="15.75" thickBot="1" x14ac:dyDescent="0.3">
      <c r="A333" s="97" t="s">
        <v>370</v>
      </c>
      <c r="B333" s="36"/>
      <c r="C333" s="49"/>
      <c r="D333" s="203"/>
      <c r="E333" s="71"/>
      <c r="F333" s="71"/>
    </row>
    <row r="334" spans="1:6" x14ac:dyDescent="0.25">
      <c r="A334" s="184" t="s">
        <v>257</v>
      </c>
      <c r="B334" s="312">
        <f>B335+B336</f>
        <v>44.825000000000003</v>
      </c>
      <c r="C334" s="290" t="s">
        <v>11</v>
      </c>
      <c r="D334" s="203"/>
      <c r="E334" s="8"/>
      <c r="F334" s="8"/>
    </row>
    <row r="335" spans="1:6" x14ac:dyDescent="0.25">
      <c r="A335" s="86" t="s">
        <v>6</v>
      </c>
      <c r="B335" s="122">
        <v>38.655000000000001</v>
      </c>
      <c r="C335" s="289" t="s">
        <v>11</v>
      </c>
      <c r="D335" s="203" t="s">
        <v>316</v>
      </c>
      <c r="E335" s="71"/>
      <c r="F335" s="71"/>
    </row>
    <row r="336" spans="1:6" ht="15.75" thickBot="1" x14ac:dyDescent="0.3">
      <c r="A336" s="185" t="s">
        <v>694</v>
      </c>
      <c r="B336" s="183">
        <v>6.17</v>
      </c>
      <c r="C336" s="303" t="s">
        <v>11</v>
      </c>
      <c r="D336" s="203" t="s">
        <v>334</v>
      </c>
      <c r="E336" s="71"/>
      <c r="F336" s="71"/>
    </row>
    <row r="337" spans="1:6" ht="15.75" thickBot="1" x14ac:dyDescent="0.3">
      <c r="A337" s="49"/>
      <c r="B337" s="122"/>
      <c r="C337" s="49"/>
      <c r="D337" s="203"/>
      <c r="E337" s="71"/>
      <c r="F337" s="71"/>
    </row>
    <row r="338" spans="1:6" x14ac:dyDescent="0.25">
      <c r="A338" s="32" t="s">
        <v>88</v>
      </c>
      <c r="B338" s="168">
        <f>B341</f>
        <v>3.6266666666666665</v>
      </c>
      <c r="C338" s="97"/>
      <c r="D338" s="203"/>
    </row>
    <row r="339" spans="1:6" x14ac:dyDescent="0.25">
      <c r="A339" s="48" t="s">
        <v>295</v>
      </c>
      <c r="B339" s="178">
        <f>COUNT(B343:B348)</f>
        <v>6</v>
      </c>
      <c r="C339" s="1"/>
      <c r="D339" s="203"/>
    </row>
    <row r="340" spans="1:6" x14ac:dyDescent="0.25">
      <c r="A340" s="48" t="s">
        <v>281</v>
      </c>
      <c r="B340" s="293">
        <f>STDEV(B343:B348)</f>
        <v>1.3103994301993078</v>
      </c>
      <c r="C340" s="1"/>
      <c r="D340" s="203"/>
    </row>
    <row r="341" spans="1:6" x14ac:dyDescent="0.25">
      <c r="A341" s="48" t="s">
        <v>279</v>
      </c>
      <c r="B341" s="293">
        <f>AVERAGE(B343:B348)</f>
        <v>3.6266666666666665</v>
      </c>
      <c r="D341" s="203"/>
    </row>
    <row r="342" spans="1:6" ht="15.75" thickBot="1" x14ac:dyDescent="0.3">
      <c r="A342" s="89" t="s">
        <v>283</v>
      </c>
      <c r="B342" s="336">
        <f>CONFIDENCE(0.05,B340,B339)</f>
        <v>1.0485186541888669</v>
      </c>
      <c r="C342" s="1"/>
      <c r="D342" s="203"/>
    </row>
    <row r="343" spans="1:6" x14ac:dyDescent="0.25">
      <c r="A343" s="87" t="s">
        <v>405</v>
      </c>
      <c r="B343" s="275">
        <v>4.95</v>
      </c>
      <c r="C343" s="134" t="s">
        <v>36</v>
      </c>
      <c r="D343" s="203" t="s">
        <v>41</v>
      </c>
    </row>
    <row r="344" spans="1:6" x14ac:dyDescent="0.25">
      <c r="A344" s="48" t="s">
        <v>35</v>
      </c>
      <c r="B344" s="36">
        <v>3.8</v>
      </c>
      <c r="C344" s="178" t="s">
        <v>36</v>
      </c>
      <c r="D344" s="203" t="s">
        <v>409</v>
      </c>
    </row>
    <row r="345" spans="1:6" x14ac:dyDescent="0.25">
      <c r="A345" s="48" t="s">
        <v>37</v>
      </c>
      <c r="B345" s="36">
        <v>5</v>
      </c>
      <c r="C345" s="178" t="s">
        <v>36</v>
      </c>
      <c r="D345" s="203" t="s">
        <v>39</v>
      </c>
    </row>
    <row r="346" spans="1:6" x14ac:dyDescent="0.25">
      <c r="A346" s="48" t="s">
        <v>38</v>
      </c>
      <c r="B346" s="36">
        <v>1.67</v>
      </c>
      <c r="C346" s="178" t="s">
        <v>22</v>
      </c>
      <c r="D346" s="203" t="s">
        <v>12</v>
      </c>
    </row>
    <row r="347" spans="1:6" x14ac:dyDescent="0.25">
      <c r="A347" s="48" t="s">
        <v>40</v>
      </c>
      <c r="B347" s="36">
        <v>2.59</v>
      </c>
      <c r="C347" s="178" t="s">
        <v>36</v>
      </c>
      <c r="D347" s="203" t="s">
        <v>408</v>
      </c>
    </row>
    <row r="348" spans="1:6" s="71" customFormat="1" ht="15.75" thickBot="1" x14ac:dyDescent="0.3">
      <c r="A348" s="89" t="s">
        <v>1004</v>
      </c>
      <c r="B348" s="126">
        <v>3.75</v>
      </c>
      <c r="C348" s="288" t="s">
        <v>36</v>
      </c>
      <c r="D348" s="203" t="s">
        <v>123</v>
      </c>
    </row>
    <row r="349" spans="1:6" x14ac:dyDescent="0.25">
      <c r="D349" s="203"/>
    </row>
    <row r="350" spans="1:6" s="71" customFormat="1" x14ac:dyDescent="0.25">
      <c r="A350" s="69" t="s">
        <v>1005</v>
      </c>
      <c r="B350" s="122">
        <v>3</v>
      </c>
      <c r="C350" s="69" t="s">
        <v>36</v>
      </c>
      <c r="D350" s="203" t="s">
        <v>901</v>
      </c>
    </row>
    <row r="351" spans="1:6" s="71" customFormat="1" x14ac:dyDescent="0.25">
      <c r="A351" s="50"/>
      <c r="B351" s="50"/>
      <c r="C351" s="50"/>
      <c r="D351" s="203"/>
    </row>
    <row r="352" spans="1:6" x14ac:dyDescent="0.25">
      <c r="A352" s="1" t="s">
        <v>23</v>
      </c>
      <c r="D352" s="203"/>
    </row>
    <row r="353" spans="1:4" x14ac:dyDescent="0.25">
      <c r="A353" s="49" t="s">
        <v>458</v>
      </c>
      <c r="B353" s="68">
        <v>0.64</v>
      </c>
      <c r="C353" s="49" t="s">
        <v>5</v>
      </c>
      <c r="D353" s="203" t="s">
        <v>50</v>
      </c>
    </row>
    <row r="354" spans="1:4" s="71" customFormat="1" ht="15.75" x14ac:dyDescent="0.25">
      <c r="A354" s="71" t="s">
        <v>1028</v>
      </c>
      <c r="B354" s="378">
        <f>0.145*1.2/32000</f>
        <v>5.4375E-6</v>
      </c>
      <c r="C354" s="71" t="s">
        <v>1029</v>
      </c>
      <c r="D354" s="379" t="s">
        <v>1030</v>
      </c>
    </row>
    <row r="355" spans="1:4" x14ac:dyDescent="0.25">
      <c r="A355" s="71" t="s">
        <v>1025</v>
      </c>
      <c r="B355" s="377">
        <v>0.70563136789494296</v>
      </c>
      <c r="C355" s="71" t="s">
        <v>1026</v>
      </c>
      <c r="D355" s="71" t="s">
        <v>1027</v>
      </c>
    </row>
    <row r="356" spans="1:4" s="71" customFormat="1" x14ac:dyDescent="0.25">
      <c r="A356" s="103" t="s">
        <v>148</v>
      </c>
      <c r="B356" s="50"/>
      <c r="C356" s="50"/>
      <c r="D356" s="203"/>
    </row>
    <row r="357" spans="1:4" s="71" customFormat="1" ht="15.75" thickBot="1" x14ac:dyDescent="0.3">
      <c r="A357" s="97" t="s">
        <v>124</v>
      </c>
      <c r="B357" s="97" t="s">
        <v>34</v>
      </c>
      <c r="C357" s="97" t="s">
        <v>4</v>
      </c>
      <c r="D357" s="203" t="s">
        <v>7</v>
      </c>
    </row>
    <row r="358" spans="1:4" s="71" customFormat="1" x14ac:dyDescent="0.25">
      <c r="A358" s="87" t="s">
        <v>24</v>
      </c>
      <c r="B358" s="133">
        <v>17.04</v>
      </c>
      <c r="C358" s="134" t="s">
        <v>31</v>
      </c>
      <c r="D358" s="203" t="s">
        <v>579</v>
      </c>
    </row>
    <row r="359" spans="1:4" s="71" customFormat="1" x14ac:dyDescent="0.25">
      <c r="A359" s="48" t="s">
        <v>159</v>
      </c>
      <c r="B359" s="68">
        <v>17.2</v>
      </c>
      <c r="C359" s="178" t="s">
        <v>31</v>
      </c>
      <c r="D359" s="203" t="s">
        <v>123</v>
      </c>
    </row>
    <row r="360" spans="1:4" s="71" customFormat="1" x14ac:dyDescent="0.25">
      <c r="A360" s="48" t="s">
        <v>160</v>
      </c>
      <c r="B360" s="68">
        <v>18.7</v>
      </c>
      <c r="C360" s="178" t="s">
        <v>31</v>
      </c>
      <c r="D360" s="203" t="s">
        <v>467</v>
      </c>
    </row>
    <row r="361" spans="1:4" s="71" customFormat="1" x14ac:dyDescent="0.25">
      <c r="A361" s="48" t="s">
        <v>162</v>
      </c>
      <c r="B361" s="68">
        <v>21.8</v>
      </c>
      <c r="C361" s="178" t="s">
        <v>31</v>
      </c>
      <c r="D361" s="203" t="s">
        <v>468</v>
      </c>
    </row>
    <row r="362" spans="1:4" s="71" customFormat="1" x14ac:dyDescent="0.25">
      <c r="A362" s="48" t="s">
        <v>459</v>
      </c>
      <c r="B362" s="68">
        <v>16.600000000000001</v>
      </c>
      <c r="C362" s="178" t="s">
        <v>31</v>
      </c>
      <c r="D362" s="203" t="s">
        <v>271</v>
      </c>
    </row>
    <row r="363" spans="1:4" s="71" customFormat="1" x14ac:dyDescent="0.25">
      <c r="A363" s="48" t="s">
        <v>161</v>
      </c>
      <c r="B363" s="68">
        <v>23.2</v>
      </c>
      <c r="C363" s="178" t="s">
        <v>31</v>
      </c>
      <c r="D363" s="203" t="s">
        <v>469</v>
      </c>
    </row>
    <row r="364" spans="1:4" s="71" customFormat="1" x14ac:dyDescent="0.25">
      <c r="A364" s="48" t="s">
        <v>368</v>
      </c>
      <c r="B364" s="68">
        <v>18.45</v>
      </c>
      <c r="C364" s="178" t="s">
        <v>31</v>
      </c>
      <c r="D364" s="203" t="s">
        <v>123</v>
      </c>
    </row>
    <row r="365" spans="1:4" s="71" customFormat="1" x14ac:dyDescent="0.25">
      <c r="A365" s="48" t="s">
        <v>244</v>
      </c>
      <c r="B365" s="68">
        <f>(16.8+20.5)/2</f>
        <v>18.649999999999999</v>
      </c>
      <c r="C365" s="178" t="s">
        <v>31</v>
      </c>
      <c r="D365" s="203" t="s">
        <v>470</v>
      </c>
    </row>
    <row r="366" spans="1:4" s="71" customFormat="1" x14ac:dyDescent="0.25">
      <c r="A366" s="48" t="s">
        <v>137</v>
      </c>
      <c r="B366" s="68">
        <v>20.39</v>
      </c>
      <c r="C366" s="178" t="s">
        <v>31</v>
      </c>
      <c r="D366" s="203" t="s">
        <v>253</v>
      </c>
    </row>
    <row r="367" spans="1:4" s="71" customFormat="1" x14ac:dyDescent="0.25">
      <c r="A367" s="48" t="s">
        <v>20</v>
      </c>
      <c r="B367" s="111">
        <v>23.794979999999999</v>
      </c>
      <c r="C367" s="178" t="s">
        <v>31</v>
      </c>
      <c r="D367" s="203" t="s">
        <v>410</v>
      </c>
    </row>
    <row r="368" spans="1:4" s="71" customFormat="1" x14ac:dyDescent="0.25">
      <c r="A368" s="48" t="s">
        <v>203</v>
      </c>
      <c r="B368" s="68">
        <v>16</v>
      </c>
      <c r="C368" s="178" t="s">
        <v>31</v>
      </c>
      <c r="D368" s="203" t="s">
        <v>466</v>
      </c>
    </row>
    <row r="369" spans="1:5" s="71" customFormat="1" x14ac:dyDescent="0.25">
      <c r="A369" s="48" t="s">
        <v>32</v>
      </c>
      <c r="B369" s="200">
        <v>17.744</v>
      </c>
      <c r="C369" s="178" t="s">
        <v>31</v>
      </c>
      <c r="D369" s="203" t="s">
        <v>252</v>
      </c>
    </row>
    <row r="370" spans="1:5" s="71" customFormat="1" x14ac:dyDescent="0.25">
      <c r="A370" s="48" t="s">
        <v>19</v>
      </c>
      <c r="B370" s="68">
        <v>18.64</v>
      </c>
      <c r="C370" s="178" t="s">
        <v>31</v>
      </c>
      <c r="D370" s="203" t="s">
        <v>123</v>
      </c>
    </row>
    <row r="371" spans="1:5" s="71" customFormat="1" x14ac:dyDescent="0.25">
      <c r="A371" s="48" t="s">
        <v>474</v>
      </c>
      <c r="B371" s="68">
        <v>19.73</v>
      </c>
      <c r="C371" s="178" t="s">
        <v>31</v>
      </c>
      <c r="D371" s="203" t="s">
        <v>541</v>
      </c>
    </row>
    <row r="372" spans="1:5" s="71" customFormat="1" ht="15.75" thickBot="1" x14ac:dyDescent="0.3">
      <c r="A372" s="89" t="s">
        <v>463</v>
      </c>
      <c r="B372" s="263">
        <f>18*1.06</f>
        <v>19.080000000000002</v>
      </c>
      <c r="C372" s="288" t="s">
        <v>31</v>
      </c>
      <c r="D372" s="203" t="s">
        <v>465</v>
      </c>
    </row>
    <row r="373" spans="1:5" s="71" customFormat="1" x14ac:dyDescent="0.25">
      <c r="A373" s="87" t="s">
        <v>30</v>
      </c>
      <c r="B373" s="133">
        <v>17.649999999999999</v>
      </c>
      <c r="C373" s="134" t="s">
        <v>31</v>
      </c>
      <c r="D373" s="203" t="s">
        <v>123</v>
      </c>
    </row>
    <row r="374" spans="1:5" s="71" customFormat="1" ht="15.75" thickBot="1" x14ac:dyDescent="0.3">
      <c r="A374" s="89" t="s">
        <v>186</v>
      </c>
      <c r="B374" s="263">
        <v>17.510000000000002</v>
      </c>
      <c r="C374" s="288" t="s">
        <v>31</v>
      </c>
      <c r="D374" s="203" t="s">
        <v>123</v>
      </c>
    </row>
    <row r="375" spans="1:5" s="71" customFormat="1" x14ac:dyDescent="0.25">
      <c r="A375" s="49"/>
      <c r="B375" s="49"/>
      <c r="C375" s="49"/>
      <c r="D375" s="203"/>
    </row>
    <row r="376" spans="1:5" s="71" customFormat="1" ht="15.75" thickBot="1" x14ac:dyDescent="0.3">
      <c r="A376" s="50"/>
      <c r="B376" s="50"/>
      <c r="C376" s="50"/>
      <c r="D376" s="203"/>
    </row>
    <row r="377" spans="1:5" s="71" customFormat="1" x14ac:dyDescent="0.25">
      <c r="A377" s="39" t="s">
        <v>823</v>
      </c>
      <c r="B377" s="365">
        <f>B380</f>
        <v>66.974999999999994</v>
      </c>
      <c r="C377" s="10"/>
      <c r="D377" s="203"/>
    </row>
    <row r="378" spans="1:5" s="71" customFormat="1" ht="15.75" x14ac:dyDescent="0.25">
      <c r="A378" s="19" t="s">
        <v>295</v>
      </c>
      <c r="B378" s="340">
        <f>COUNT(B382:B385)</f>
        <v>4</v>
      </c>
      <c r="C378" s="10"/>
      <c r="D378" s="203"/>
      <c r="E378" s="366"/>
    </row>
    <row r="379" spans="1:5" s="71" customFormat="1" x14ac:dyDescent="0.25">
      <c r="A379" s="48" t="s">
        <v>281</v>
      </c>
      <c r="B379" s="340">
        <f>STDEV(B382:B385)</f>
        <v>41.370389974795614</v>
      </c>
      <c r="C379" s="10"/>
      <c r="D379" s="203"/>
    </row>
    <row r="380" spans="1:5" s="71" customFormat="1" x14ac:dyDescent="0.25">
      <c r="A380" s="19" t="s">
        <v>279</v>
      </c>
      <c r="B380" s="340">
        <f>AVERAGE(B382:B385)</f>
        <v>66.974999999999994</v>
      </c>
      <c r="D380" s="203"/>
    </row>
    <row r="381" spans="1:5" s="71" customFormat="1" ht="15.75" thickBot="1" x14ac:dyDescent="0.3">
      <c r="A381" s="48" t="s">
        <v>283</v>
      </c>
      <c r="B381" s="131">
        <f>CONFIDENCE(0.05,B379,B378)</f>
        <v>40.542237188488151</v>
      </c>
      <c r="D381" s="203"/>
    </row>
    <row r="382" spans="1:5" s="71" customFormat="1" x14ac:dyDescent="0.25">
      <c r="A382" s="368" t="s">
        <v>824</v>
      </c>
      <c r="B382" s="85">
        <v>68.7</v>
      </c>
      <c r="C382" s="30" t="s">
        <v>5</v>
      </c>
      <c r="D382" s="203" t="s">
        <v>122</v>
      </c>
    </row>
    <row r="383" spans="1:5" s="71" customFormat="1" x14ac:dyDescent="0.25">
      <c r="A383" s="369" t="s">
        <v>825</v>
      </c>
      <c r="B383" s="13">
        <v>10</v>
      </c>
      <c r="C383" s="26" t="s">
        <v>5</v>
      </c>
      <c r="D383" s="203" t="s">
        <v>901</v>
      </c>
    </row>
    <row r="384" spans="1:5" s="71" customFormat="1" x14ac:dyDescent="0.25">
      <c r="A384" s="369" t="s">
        <v>900</v>
      </c>
      <c r="B384" s="13">
        <v>108</v>
      </c>
      <c r="C384" s="26" t="s">
        <v>5</v>
      </c>
      <c r="D384" s="203" t="s">
        <v>1017</v>
      </c>
    </row>
    <row r="385" spans="1:9" s="71" customFormat="1" ht="15.75" thickBot="1" x14ac:dyDescent="0.3">
      <c r="A385" s="370" t="s">
        <v>1016</v>
      </c>
      <c r="B385" s="31">
        <v>81.2</v>
      </c>
      <c r="C385" s="28" t="s">
        <v>5</v>
      </c>
      <c r="D385" s="203" t="s">
        <v>826</v>
      </c>
    </row>
    <row r="386" spans="1:9" s="71" customFormat="1" x14ac:dyDescent="0.25">
      <c r="A386" s="49"/>
      <c r="B386" s="10"/>
      <c r="C386" s="10"/>
      <c r="D386" s="203"/>
    </row>
    <row r="387" spans="1:9" s="71" customFormat="1" x14ac:dyDescent="0.25">
      <c r="A387" s="103" t="s">
        <v>902</v>
      </c>
      <c r="B387" s="10"/>
      <c r="C387" s="10"/>
      <c r="D387" s="203"/>
    </row>
    <row r="388" spans="1:9" s="71" customFormat="1" x14ac:dyDescent="0.25">
      <c r="A388" s="69" t="s">
        <v>905</v>
      </c>
      <c r="B388" s="13">
        <v>10</v>
      </c>
      <c r="C388" s="13" t="s">
        <v>914</v>
      </c>
      <c r="D388" s="203" t="s">
        <v>901</v>
      </c>
    </row>
    <row r="389" spans="1:9" s="71" customFormat="1" x14ac:dyDescent="0.25">
      <c r="A389" s="69" t="s">
        <v>903</v>
      </c>
      <c r="B389" s="11">
        <f>27.2*0.0056+27.2*0.199+27.2*0.176</f>
        <v>10.352319999999999</v>
      </c>
      <c r="C389" s="13" t="s">
        <v>914</v>
      </c>
      <c r="D389" s="203" t="s">
        <v>901</v>
      </c>
    </row>
    <row r="390" spans="1:9" s="71" customFormat="1" x14ac:dyDescent="0.25">
      <c r="A390" s="69" t="s">
        <v>904</v>
      </c>
      <c r="B390" s="10"/>
      <c r="C390" s="10"/>
      <c r="D390" s="203"/>
    </row>
    <row r="391" spans="1:9" s="71" customFormat="1" x14ac:dyDescent="0.25">
      <c r="A391" s="69" t="s">
        <v>906</v>
      </c>
      <c r="B391" s="10" t="s">
        <v>907</v>
      </c>
      <c r="C391" s="10" t="s">
        <v>908</v>
      </c>
      <c r="D391" s="203" t="s">
        <v>909</v>
      </c>
      <c r="E391" s="13" t="s">
        <v>910</v>
      </c>
      <c r="F391" s="13" t="s">
        <v>911</v>
      </c>
      <c r="G391" s="13" t="s">
        <v>912</v>
      </c>
    </row>
    <row r="392" spans="1:9" s="71" customFormat="1" x14ac:dyDescent="0.25">
      <c r="A392" s="69" t="s">
        <v>913</v>
      </c>
      <c r="B392" s="10">
        <v>0.2</v>
      </c>
      <c r="C392" s="10">
        <v>0.32</v>
      </c>
      <c r="D392" s="203">
        <v>0.11</v>
      </c>
      <c r="E392" s="71">
        <v>0.34</v>
      </c>
      <c r="F392" s="71">
        <v>0.45</v>
      </c>
      <c r="G392" s="71">
        <v>0.21</v>
      </c>
      <c r="I392" s="71" t="s">
        <v>901</v>
      </c>
    </row>
    <row r="393" spans="1:9" s="71" customFormat="1" x14ac:dyDescent="0.25">
      <c r="A393" s="69" t="s">
        <v>915</v>
      </c>
      <c r="B393" s="10">
        <f t="shared" ref="B393:G393" si="0">$B$388*B392</f>
        <v>2</v>
      </c>
      <c r="C393" s="10">
        <f t="shared" si="0"/>
        <v>3.2</v>
      </c>
      <c r="D393" s="203">
        <f t="shared" si="0"/>
        <v>1.1000000000000001</v>
      </c>
      <c r="E393" s="10">
        <f t="shared" si="0"/>
        <v>3.4000000000000004</v>
      </c>
      <c r="F393" s="10">
        <f t="shared" si="0"/>
        <v>4.5</v>
      </c>
      <c r="G393" s="10">
        <f t="shared" si="0"/>
        <v>2.1</v>
      </c>
      <c r="H393" s="13" t="s">
        <v>914</v>
      </c>
      <c r="I393" s="71" t="s">
        <v>901</v>
      </c>
    </row>
    <row r="394" spans="1:9" s="71" customFormat="1" x14ac:dyDescent="0.25">
      <c r="A394" s="69" t="s">
        <v>916</v>
      </c>
      <c r="B394" s="292">
        <f t="shared" ref="B394:G394" si="1">$B$388+$B$389+B393</f>
        <v>22.352319999999999</v>
      </c>
      <c r="C394" s="292">
        <f t="shared" si="1"/>
        <v>23.552319999999998</v>
      </c>
      <c r="D394" s="203">
        <f t="shared" si="1"/>
        <v>21.45232</v>
      </c>
      <c r="E394" s="292">
        <f t="shared" si="1"/>
        <v>23.752319999999997</v>
      </c>
      <c r="F394" s="292">
        <f t="shared" si="1"/>
        <v>24.852319999999999</v>
      </c>
      <c r="G394" s="292">
        <f t="shared" si="1"/>
        <v>22.45232</v>
      </c>
      <c r="H394" s="13" t="s">
        <v>914</v>
      </c>
      <c r="I394" s="71" t="s">
        <v>901</v>
      </c>
    </row>
    <row r="395" spans="1:9" s="71" customFormat="1" x14ac:dyDescent="0.25">
      <c r="A395" s="69"/>
      <c r="B395" s="292"/>
      <c r="C395" s="292"/>
      <c r="D395" s="203"/>
      <c r="E395" s="292"/>
      <c r="F395" s="292"/>
      <c r="G395" s="292"/>
    </row>
    <row r="396" spans="1:9" s="71" customFormat="1" ht="15.75" thickBot="1" x14ac:dyDescent="0.3">
      <c r="A396" s="69"/>
      <c r="B396" s="292"/>
      <c r="C396" s="292"/>
      <c r="D396" s="203"/>
      <c r="E396" s="292"/>
      <c r="F396" s="292"/>
      <c r="G396" s="292"/>
    </row>
    <row r="397" spans="1:9" s="71" customFormat="1" x14ac:dyDescent="0.25">
      <c r="A397" s="39" t="s">
        <v>831</v>
      </c>
      <c r="B397" s="365">
        <f>B400</f>
        <v>0.6</v>
      </c>
      <c r="C397" s="50"/>
      <c r="D397" s="203"/>
    </row>
    <row r="398" spans="1:9" s="71" customFormat="1" x14ac:dyDescent="0.25">
      <c r="A398" s="19" t="s">
        <v>295</v>
      </c>
      <c r="B398" s="340">
        <f>COUNT(B403:B404)</f>
        <v>1</v>
      </c>
      <c r="C398" s="50"/>
      <c r="D398" s="203"/>
    </row>
    <row r="399" spans="1:9" s="71" customFormat="1" x14ac:dyDescent="0.25">
      <c r="A399" s="48" t="s">
        <v>281</v>
      </c>
      <c r="B399" s="340">
        <f>STDEV(B402:B403)</f>
        <v>0.14142135623730956</v>
      </c>
      <c r="C399" s="50"/>
      <c r="D399" s="203"/>
    </row>
    <row r="400" spans="1:9" s="71" customFormat="1" x14ac:dyDescent="0.25">
      <c r="A400" s="19" t="s">
        <v>279</v>
      </c>
      <c r="B400" s="340">
        <f>AVERAGE(B402:B403)</f>
        <v>0.6</v>
      </c>
      <c r="C400" s="50"/>
      <c r="D400" s="203"/>
    </row>
    <row r="401" spans="1:4" s="71" customFormat="1" ht="15.75" thickBot="1" x14ac:dyDescent="0.3">
      <c r="A401" s="48" t="s">
        <v>283</v>
      </c>
      <c r="B401" s="131">
        <f>CONFIDENCE(0.05,B399,B398)</f>
        <v>0.27718076486993559</v>
      </c>
      <c r="C401" s="50"/>
      <c r="D401" s="203"/>
    </row>
    <row r="402" spans="1:4" s="71" customFormat="1" x14ac:dyDescent="0.25">
      <c r="A402" s="184" t="s">
        <v>827</v>
      </c>
      <c r="B402" s="121">
        <v>0.5</v>
      </c>
      <c r="C402" s="134" t="s">
        <v>829</v>
      </c>
      <c r="D402" s="203" t="s">
        <v>832</v>
      </c>
    </row>
    <row r="403" spans="1:4" s="71" customFormat="1" ht="15.75" thickBot="1" x14ac:dyDescent="0.3">
      <c r="A403" s="185" t="s">
        <v>828</v>
      </c>
      <c r="B403" s="332">
        <v>0.7</v>
      </c>
      <c r="C403" s="288" t="s">
        <v>829</v>
      </c>
      <c r="D403" s="203" t="s">
        <v>830</v>
      </c>
    </row>
    <row r="404" spans="1:4" ht="15.75" thickBot="1" x14ac:dyDescent="0.3">
      <c r="A404" s="69"/>
      <c r="D404" s="203"/>
    </row>
    <row r="405" spans="1:4" x14ac:dyDescent="0.25">
      <c r="A405" s="39" t="s">
        <v>920</v>
      </c>
      <c r="B405" s="121"/>
      <c r="C405" s="134"/>
      <c r="D405" s="203"/>
    </row>
    <row r="406" spans="1:4" s="71" customFormat="1" x14ac:dyDescent="0.25">
      <c r="A406" s="86" t="s">
        <v>1001</v>
      </c>
      <c r="B406" s="49">
        <v>1.4E-2</v>
      </c>
      <c r="C406" s="178" t="s">
        <v>1002</v>
      </c>
      <c r="D406" s="203" t="s">
        <v>1003</v>
      </c>
    </row>
    <row r="407" spans="1:4" s="71" customFormat="1" x14ac:dyDescent="0.25">
      <c r="A407" s="195"/>
      <c r="B407" s="49"/>
      <c r="C407" s="178"/>
      <c r="D407" s="203"/>
    </row>
    <row r="408" spans="1:4" x14ac:dyDescent="0.25">
      <c r="A408" s="86" t="s">
        <v>921</v>
      </c>
      <c r="B408" s="49"/>
      <c r="C408" s="178"/>
      <c r="D408" s="203"/>
    </row>
    <row r="409" spans="1:4" ht="15.75" x14ac:dyDescent="0.25">
      <c r="A409" s="86" t="s">
        <v>922</v>
      </c>
      <c r="B409" s="374">
        <f>22*1200/30</f>
        <v>880</v>
      </c>
      <c r="C409" s="178" t="s">
        <v>924</v>
      </c>
      <c r="D409" s="203" t="s">
        <v>901</v>
      </c>
    </row>
    <row r="410" spans="1:4" ht="15.75" thickBot="1" x14ac:dyDescent="0.3">
      <c r="A410" s="185" t="s">
        <v>923</v>
      </c>
      <c r="B410" s="138">
        <f>4*0.25*4.5*0.83</f>
        <v>3.7349999999999999</v>
      </c>
      <c r="C410" s="288" t="s">
        <v>21</v>
      </c>
      <c r="D410" s="203" t="s">
        <v>901</v>
      </c>
    </row>
    <row r="411" spans="1:4" x14ac:dyDescent="0.25">
      <c r="A411" s="69"/>
    </row>
    <row r="412" spans="1:4" x14ac:dyDescent="0.25">
      <c r="A412" s="69"/>
    </row>
  </sheetData>
  <pageMargins left="0.511811024" right="0.511811024" top="0.78740157499999996" bottom="0.78740157499999996" header="0.31496062000000002" footer="0.31496062000000002"/>
  <pageSetup orientation="portrait" horizontalDpi="4294967293"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S181"/>
  <sheetViews>
    <sheetView showGridLines="0" zoomScale="90" zoomScaleNormal="90" workbookViewId="0"/>
  </sheetViews>
  <sheetFormatPr defaultRowHeight="15" x14ac:dyDescent="0.25"/>
  <cols>
    <col min="1" max="1" width="33.140625" customWidth="1"/>
    <col min="3" max="3" width="35.28515625" style="50" customWidth="1"/>
    <col min="4" max="4" width="19.140625" style="50" customWidth="1"/>
  </cols>
  <sheetData>
    <row r="1" spans="1:5" s="71" customFormat="1" ht="23.25" x14ac:dyDescent="0.35">
      <c r="A1" s="159" t="s">
        <v>448</v>
      </c>
      <c r="C1" s="50"/>
      <c r="D1" s="50"/>
    </row>
    <row r="2" spans="1:5" s="71" customFormat="1" ht="15.75" thickBot="1" x14ac:dyDescent="0.3">
      <c r="A2" s="71" t="s">
        <v>583</v>
      </c>
      <c r="C2" s="50"/>
      <c r="D2" s="50"/>
    </row>
    <row r="3" spans="1:5" s="71" customFormat="1" ht="18" x14ac:dyDescent="0.35">
      <c r="A3" s="17" t="s">
        <v>246</v>
      </c>
      <c r="B3" s="167">
        <v>1</v>
      </c>
      <c r="C3" s="50" t="s">
        <v>582</v>
      </c>
      <c r="D3" s="50"/>
    </row>
    <row r="4" spans="1:5" s="71" customFormat="1" ht="18" x14ac:dyDescent="0.35">
      <c r="A4" s="19" t="s">
        <v>247</v>
      </c>
      <c r="B4" s="193">
        <v>25</v>
      </c>
      <c r="C4" s="50" t="s">
        <v>582</v>
      </c>
      <c r="D4" s="50"/>
    </row>
    <row r="5" spans="1:5" s="71" customFormat="1" ht="18.75" thickBot="1" x14ac:dyDescent="0.4">
      <c r="A5" s="27" t="s">
        <v>248</v>
      </c>
      <c r="B5" s="194">
        <v>298</v>
      </c>
      <c r="C5" s="50" t="s">
        <v>582</v>
      </c>
      <c r="D5" s="50"/>
    </row>
    <row r="6" spans="1:5" s="71" customFormat="1" x14ac:dyDescent="0.25">
      <c r="C6" s="50"/>
      <c r="D6" s="50"/>
    </row>
    <row r="7" spans="1:5" ht="23.25" x14ac:dyDescent="0.35">
      <c r="A7" s="159" t="s">
        <v>168</v>
      </c>
      <c r="B7" s="1"/>
      <c r="C7" s="1"/>
      <c r="D7" s="1"/>
      <c r="E7" s="1"/>
    </row>
    <row r="8" spans="1:5" s="71" customFormat="1" ht="20.25" thickBot="1" x14ac:dyDescent="0.35">
      <c r="A8" s="188" t="s">
        <v>428</v>
      </c>
      <c r="C8" s="50"/>
      <c r="D8" s="50"/>
    </row>
    <row r="9" spans="1:5" s="71" customFormat="1" x14ac:dyDescent="0.25">
      <c r="A9" s="32" t="s">
        <v>802</v>
      </c>
      <c r="B9" s="165">
        <f>B12</f>
        <v>3.9044333333333334</v>
      </c>
      <c r="C9" s="50"/>
      <c r="D9" s="50"/>
    </row>
    <row r="10" spans="1:5" s="71" customFormat="1" x14ac:dyDescent="0.25">
      <c r="A10" s="19" t="s">
        <v>280</v>
      </c>
      <c r="B10" s="26">
        <f>COUNT(B14:B19)</f>
        <v>6</v>
      </c>
      <c r="C10" s="50"/>
      <c r="D10" s="50"/>
    </row>
    <row r="11" spans="1:5" s="71" customFormat="1" x14ac:dyDescent="0.25">
      <c r="A11" s="48" t="s">
        <v>281</v>
      </c>
      <c r="B11" s="131">
        <f>STDEV(B14:B19)</f>
        <v>0.84555596306020087</v>
      </c>
      <c r="C11" s="50"/>
      <c r="D11" s="50"/>
    </row>
    <row r="12" spans="1:5" s="71" customFormat="1" x14ac:dyDescent="0.25">
      <c r="A12" s="19" t="s">
        <v>279</v>
      </c>
      <c r="B12" s="131">
        <f>AVERAGE(B14:B19)</f>
        <v>3.9044333333333334</v>
      </c>
      <c r="C12" s="50"/>
      <c r="D12" s="50"/>
    </row>
    <row r="13" spans="1:5" s="71" customFormat="1" ht="15.75" thickBot="1" x14ac:dyDescent="0.3">
      <c r="A13" s="48" t="s">
        <v>283</v>
      </c>
      <c r="B13" s="131">
        <f>CONFIDENCE(0.05,B11,B10)</f>
        <v>0.67657324934459617</v>
      </c>
      <c r="C13" s="50"/>
      <c r="D13" s="50"/>
    </row>
    <row r="14" spans="1:5" s="71" customFormat="1" ht="18" x14ac:dyDescent="0.35">
      <c r="A14" s="17" t="s">
        <v>289</v>
      </c>
      <c r="B14" s="313">
        <f>0.0147*B5</f>
        <v>4.3806000000000003</v>
      </c>
      <c r="C14" s="134" t="s">
        <v>177</v>
      </c>
      <c r="D14" s="50" t="s">
        <v>207</v>
      </c>
    </row>
    <row r="15" spans="1:5" s="71" customFormat="1" ht="18" x14ac:dyDescent="0.35">
      <c r="A15" s="40" t="s">
        <v>290</v>
      </c>
      <c r="B15" s="73">
        <v>4.51</v>
      </c>
      <c r="C15" s="289" t="s">
        <v>177</v>
      </c>
      <c r="D15" s="203" t="s">
        <v>807</v>
      </c>
    </row>
    <row r="16" spans="1:5" s="71" customFormat="1" ht="18" x14ac:dyDescent="0.35">
      <c r="A16" s="19" t="s">
        <v>291</v>
      </c>
      <c r="B16" s="11">
        <v>4</v>
      </c>
      <c r="C16" s="178" t="s">
        <v>177</v>
      </c>
      <c r="D16" s="50" t="s">
        <v>242</v>
      </c>
    </row>
    <row r="17" spans="1:4" s="71" customFormat="1" ht="18" x14ac:dyDescent="0.35">
      <c r="A17" s="19" t="s">
        <v>292</v>
      </c>
      <c r="B17" s="11">
        <v>3.14</v>
      </c>
      <c r="C17" s="178" t="s">
        <v>177</v>
      </c>
      <c r="D17" s="50" t="s">
        <v>89</v>
      </c>
    </row>
    <row r="18" spans="1:4" s="71" customFormat="1" ht="18" x14ac:dyDescent="0.35">
      <c r="A18" s="19" t="s">
        <v>293</v>
      </c>
      <c r="B18" s="11">
        <f>1.3*3.67</f>
        <v>4.7709999999999999</v>
      </c>
      <c r="C18" s="178" t="s">
        <v>177</v>
      </c>
      <c r="D18" s="50" t="s">
        <v>318</v>
      </c>
    </row>
    <row r="19" spans="1:4" s="71" customFormat="1" ht="18.75" thickBot="1" x14ac:dyDescent="0.4">
      <c r="A19" s="27" t="s">
        <v>312</v>
      </c>
      <c r="B19" s="22">
        <f>2.55+0.003*B4</f>
        <v>2.625</v>
      </c>
      <c r="C19" s="288" t="s">
        <v>177</v>
      </c>
      <c r="D19" s="50" t="s">
        <v>226</v>
      </c>
    </row>
    <row r="20" spans="1:4" s="71" customFormat="1" x14ac:dyDescent="0.25">
      <c r="A20" s="19"/>
      <c r="B20" s="11"/>
      <c r="C20" s="49"/>
      <c r="D20" s="50"/>
    </row>
    <row r="21" spans="1:4" s="71" customFormat="1" x14ac:dyDescent="0.25">
      <c r="A21" s="101" t="s">
        <v>897</v>
      </c>
      <c r="B21" s="11"/>
      <c r="C21" s="49"/>
      <c r="D21" s="50"/>
    </row>
    <row r="22" spans="1:4" s="71" customFormat="1" x14ac:dyDescent="0.25">
      <c r="A22" s="48" t="s">
        <v>898</v>
      </c>
      <c r="B22" s="11">
        <f>2.404+0.00045*B4+0.01749*B5</f>
        <v>7.6272699999999993</v>
      </c>
      <c r="C22" s="49" t="s">
        <v>872</v>
      </c>
      <c r="D22" s="69" t="s">
        <v>899</v>
      </c>
    </row>
    <row r="23" spans="1:4" s="71" customFormat="1" x14ac:dyDescent="0.25">
      <c r="A23" s="19"/>
      <c r="B23" s="11"/>
      <c r="C23" s="49"/>
      <c r="D23" s="50"/>
    </row>
    <row r="24" spans="1:4" s="71" customFormat="1" x14ac:dyDescent="0.25">
      <c r="A24" s="101" t="s">
        <v>837</v>
      </c>
      <c r="B24" s="11"/>
      <c r="C24" s="49"/>
      <c r="D24" s="50"/>
    </row>
    <row r="25" spans="1:4" s="71" customFormat="1" x14ac:dyDescent="0.25">
      <c r="A25" s="19" t="s">
        <v>871</v>
      </c>
      <c r="B25" s="11">
        <v>1.97</v>
      </c>
      <c r="C25" s="49" t="s">
        <v>872</v>
      </c>
      <c r="D25" s="50" t="s">
        <v>870</v>
      </c>
    </row>
    <row r="26" spans="1:4" s="71" customFormat="1" x14ac:dyDescent="0.25">
      <c r="A26" s="19" t="s">
        <v>866</v>
      </c>
      <c r="B26" s="11">
        <f>1.46*(17/14)</f>
        <v>1.7728571428571427</v>
      </c>
      <c r="C26" s="49" t="s">
        <v>872</v>
      </c>
      <c r="D26" s="50" t="s">
        <v>1007</v>
      </c>
    </row>
    <row r="27" spans="1:4" s="71" customFormat="1" ht="15.75" thickBot="1" x14ac:dyDescent="0.3">
      <c r="A27" s="19"/>
      <c r="B27" s="11"/>
      <c r="C27" s="49"/>
      <c r="D27" s="50"/>
    </row>
    <row r="28" spans="1:4" s="71" customFormat="1" x14ac:dyDescent="0.25">
      <c r="A28" s="39" t="s">
        <v>805</v>
      </c>
      <c r="B28" s="164">
        <f>B31</f>
        <v>0.91427274999999997</v>
      </c>
      <c r="C28" s="50"/>
      <c r="D28" s="50"/>
    </row>
    <row r="29" spans="1:4" s="71" customFormat="1" x14ac:dyDescent="0.25">
      <c r="A29" s="19" t="s">
        <v>280</v>
      </c>
      <c r="B29" s="131">
        <f>COUNT(B33:B36)</f>
        <v>4</v>
      </c>
      <c r="C29" s="50"/>
      <c r="D29" s="50"/>
    </row>
    <row r="30" spans="1:4" s="71" customFormat="1" x14ac:dyDescent="0.25">
      <c r="A30" s="48" t="s">
        <v>281</v>
      </c>
      <c r="B30" s="131">
        <f>STDEV(B33:B36)</f>
        <v>0.46035353396809803</v>
      </c>
      <c r="C30" s="50"/>
      <c r="D30" s="50"/>
    </row>
    <row r="31" spans="1:4" s="71" customFormat="1" x14ac:dyDescent="0.25">
      <c r="A31" s="19" t="s">
        <v>279</v>
      </c>
      <c r="B31" s="37">
        <f>AVERAGE(B33:B36)</f>
        <v>0.91427274999999997</v>
      </c>
      <c r="C31" s="50"/>
      <c r="D31" s="50"/>
    </row>
    <row r="32" spans="1:4" s="71" customFormat="1" ht="15.75" thickBot="1" x14ac:dyDescent="0.3">
      <c r="A32" s="48" t="s">
        <v>283</v>
      </c>
      <c r="B32" s="131">
        <f>CONFIDENCE(0.05,B30,B29)</f>
        <v>0.45113817336660417</v>
      </c>
      <c r="C32" s="50"/>
      <c r="D32" s="50"/>
    </row>
    <row r="33" spans="1:4" ht="18" x14ac:dyDescent="0.35">
      <c r="A33" s="17" t="s">
        <v>182</v>
      </c>
      <c r="B33" s="189">
        <f>0.7+0.000023*B4+0.000042*B5</f>
        <v>0.71309099999999992</v>
      </c>
      <c r="C33" s="134" t="s">
        <v>178</v>
      </c>
      <c r="D33" s="50" t="s">
        <v>207</v>
      </c>
    </row>
    <row r="34" spans="1:4" s="71" customFormat="1" ht="18" x14ac:dyDescent="0.35">
      <c r="A34" s="19" t="s">
        <v>183</v>
      </c>
      <c r="B34" s="24">
        <v>1.6</v>
      </c>
      <c r="C34" s="178" t="s">
        <v>178</v>
      </c>
      <c r="D34" s="291" t="s">
        <v>242</v>
      </c>
    </row>
    <row r="35" spans="1:4" s="71" customFormat="1" ht="18" x14ac:dyDescent="0.35">
      <c r="A35" s="19" t="s">
        <v>187</v>
      </c>
      <c r="B35" s="24">
        <v>0.61</v>
      </c>
      <c r="C35" s="178" t="s">
        <v>178</v>
      </c>
      <c r="D35" s="50" t="s">
        <v>89</v>
      </c>
    </row>
    <row r="36" spans="1:4" s="71" customFormat="1" ht="18.75" thickBot="1" x14ac:dyDescent="0.4">
      <c r="A36" s="27" t="s">
        <v>209</v>
      </c>
      <c r="B36" s="35">
        <f>0.2*3.67</f>
        <v>0.73399999999999999</v>
      </c>
      <c r="C36" s="288" t="s">
        <v>178</v>
      </c>
      <c r="D36" s="50" t="s">
        <v>318</v>
      </c>
    </row>
    <row r="37" spans="1:4" s="71" customFormat="1" ht="15.75" thickBot="1" x14ac:dyDescent="0.3">
      <c r="B37" s="2"/>
      <c r="C37" s="50"/>
      <c r="D37" s="50"/>
    </row>
    <row r="38" spans="1:4" s="71" customFormat="1" x14ac:dyDescent="0.25">
      <c r="A38" s="32" t="s">
        <v>806</v>
      </c>
      <c r="B38" s="164">
        <f>B41</f>
        <v>0.53920654999999995</v>
      </c>
      <c r="C38" s="50"/>
      <c r="D38" s="50"/>
    </row>
    <row r="39" spans="1:4" s="71" customFormat="1" x14ac:dyDescent="0.25">
      <c r="A39" s="19" t="s">
        <v>280</v>
      </c>
      <c r="B39" s="131">
        <f>COUNT(B43:B46)</f>
        <v>4</v>
      </c>
      <c r="C39" s="50"/>
      <c r="D39" s="50"/>
    </row>
    <row r="40" spans="1:4" s="71" customFormat="1" x14ac:dyDescent="0.25">
      <c r="A40" s="48" t="s">
        <v>281</v>
      </c>
      <c r="B40" s="131">
        <f>STDEV(B43:B46)</f>
        <v>0.12383999967004471</v>
      </c>
      <c r="C40" s="50"/>
      <c r="D40" s="50"/>
    </row>
    <row r="41" spans="1:4" s="71" customFormat="1" x14ac:dyDescent="0.25">
      <c r="A41" s="19" t="s">
        <v>279</v>
      </c>
      <c r="B41" s="37">
        <f>AVERAGE(B43:B46)</f>
        <v>0.53920654999999995</v>
      </c>
      <c r="C41" s="50"/>
      <c r="D41" s="50"/>
    </row>
    <row r="42" spans="1:4" s="71" customFormat="1" ht="15.75" thickBot="1" x14ac:dyDescent="0.3">
      <c r="A42" s="48" t="s">
        <v>283</v>
      </c>
      <c r="B42" s="37">
        <f>CONFIDENCE(0.05,B40,B39)</f>
        <v>0.12136096959936987</v>
      </c>
      <c r="C42" s="50"/>
      <c r="D42" s="50"/>
    </row>
    <row r="43" spans="1:4" ht="18" x14ac:dyDescent="0.35">
      <c r="A43" s="17" t="s">
        <v>184</v>
      </c>
      <c r="B43" s="313">
        <f>0.453+0.000021*B4+0.0000094*B5</f>
        <v>0.45632620000000002</v>
      </c>
      <c r="C43" s="134" t="s">
        <v>178</v>
      </c>
      <c r="D43" s="50" t="s">
        <v>207</v>
      </c>
    </row>
    <row r="44" spans="1:4" s="71" customFormat="1" ht="18" x14ac:dyDescent="0.35">
      <c r="A44" s="19" t="s">
        <v>185</v>
      </c>
      <c r="B44" s="11">
        <v>0.71</v>
      </c>
      <c r="C44" s="178" t="s">
        <v>178</v>
      </c>
      <c r="D44" s="291" t="s">
        <v>242</v>
      </c>
    </row>
    <row r="45" spans="1:4" s="71" customFormat="1" ht="18" x14ac:dyDescent="0.35">
      <c r="A45" s="19" t="s">
        <v>188</v>
      </c>
      <c r="B45" s="11">
        <f>0.44</f>
        <v>0.44</v>
      </c>
      <c r="C45" s="178" t="s">
        <v>178</v>
      </c>
      <c r="D45" s="50" t="s">
        <v>89</v>
      </c>
    </row>
    <row r="46" spans="1:4" s="71" customFormat="1" ht="18.75" thickBot="1" x14ac:dyDescent="0.4">
      <c r="A46" s="27" t="s">
        <v>210</v>
      </c>
      <c r="B46" s="22">
        <f>0.15*3.67</f>
        <v>0.55049999999999999</v>
      </c>
      <c r="C46" s="288" t="s">
        <v>178</v>
      </c>
      <c r="D46" s="50" t="s">
        <v>318</v>
      </c>
    </row>
    <row r="47" spans="1:4" s="71" customFormat="1" ht="15.75" thickBot="1" x14ac:dyDescent="0.3">
      <c r="B47" s="2"/>
      <c r="C47" s="50"/>
      <c r="D47" s="50"/>
    </row>
    <row r="48" spans="1:4" s="71" customFormat="1" x14ac:dyDescent="0.25">
      <c r="A48" s="32" t="s">
        <v>330</v>
      </c>
      <c r="B48" s="164">
        <f>B51</f>
        <v>0.35276637500000002</v>
      </c>
      <c r="C48" s="50"/>
      <c r="D48" s="50"/>
    </row>
    <row r="49" spans="1:19" s="71" customFormat="1" x14ac:dyDescent="0.25">
      <c r="A49" s="19" t="s">
        <v>280</v>
      </c>
      <c r="B49" s="131">
        <f>COUNT(B53:B56)</f>
        <v>4</v>
      </c>
      <c r="C49" s="50"/>
      <c r="D49" s="50"/>
    </row>
    <row r="50" spans="1:19" s="71" customFormat="1" x14ac:dyDescent="0.25">
      <c r="A50" s="48" t="s">
        <v>281</v>
      </c>
      <c r="B50" s="131">
        <f>STDEV(B53:B56)</f>
        <v>0.2293715332291604</v>
      </c>
      <c r="C50" s="50"/>
      <c r="D50" s="50"/>
    </row>
    <row r="51" spans="1:19" x14ac:dyDescent="0.25">
      <c r="A51" s="19" t="s">
        <v>279</v>
      </c>
      <c r="B51" s="37">
        <f>AVERAGE(B53:B56)</f>
        <v>0.35276637500000002</v>
      </c>
    </row>
    <row r="52" spans="1:19" s="71" customFormat="1" ht="15.75" thickBot="1" x14ac:dyDescent="0.3">
      <c r="A52" s="48" t="s">
        <v>283</v>
      </c>
      <c r="B52" s="131">
        <f>CONFIDENCE(0.05,B50,B49)</f>
        <v>0.22477997210394327</v>
      </c>
      <c r="C52" s="50"/>
      <c r="D52" s="50"/>
    </row>
    <row r="53" spans="1:19" s="71" customFormat="1" ht="18" x14ac:dyDescent="0.35">
      <c r="A53" s="17" t="s">
        <v>52</v>
      </c>
      <c r="B53" s="337">
        <f>0.44+0.07</f>
        <v>0.51</v>
      </c>
      <c r="C53" s="134" t="s">
        <v>178</v>
      </c>
      <c r="D53" s="291" t="s">
        <v>242</v>
      </c>
    </row>
    <row r="54" spans="1:19" ht="18" x14ac:dyDescent="0.35">
      <c r="A54" s="19" t="s">
        <v>53</v>
      </c>
      <c r="B54" s="11">
        <f>0.179+0.0000039*B4+0.000016*B5</f>
        <v>0.18386549999999999</v>
      </c>
      <c r="C54" s="178" t="s">
        <v>178</v>
      </c>
      <c r="D54" s="50" t="s">
        <v>821</v>
      </c>
    </row>
    <row r="55" spans="1:19" s="71" customFormat="1" ht="18" x14ac:dyDescent="0.35">
      <c r="A55" s="19" t="s">
        <v>54</v>
      </c>
      <c r="B55" s="11">
        <v>0.13</v>
      </c>
      <c r="C55" s="178" t="s">
        <v>178</v>
      </c>
      <c r="D55" s="50" t="s">
        <v>89</v>
      </c>
    </row>
    <row r="56" spans="1:19" s="71" customFormat="1" ht="18.75" thickBot="1" x14ac:dyDescent="0.4">
      <c r="A56" s="27" t="s">
        <v>55</v>
      </c>
      <c r="B56" s="338">
        <f>0.16*3.67</f>
        <v>0.58720000000000006</v>
      </c>
      <c r="C56" s="288" t="s">
        <v>178</v>
      </c>
      <c r="D56" s="50" t="s">
        <v>318</v>
      </c>
    </row>
    <row r="57" spans="1:19" s="71" customFormat="1" x14ac:dyDescent="0.25">
      <c r="A57" s="19"/>
      <c r="B57" s="11"/>
      <c r="C57" s="49"/>
      <c r="D57" s="50"/>
    </row>
    <row r="58" spans="1:19" s="71" customFormat="1" x14ac:dyDescent="0.25">
      <c r="A58" s="101" t="s">
        <v>584</v>
      </c>
      <c r="B58" s="11"/>
      <c r="C58" s="49"/>
      <c r="D58" s="50"/>
    </row>
    <row r="59" spans="1:19" s="71" customFormat="1" x14ac:dyDescent="0.25">
      <c r="A59" s="19"/>
      <c r="B59" s="11"/>
      <c r="C59" s="49"/>
      <c r="D59" s="50"/>
    </row>
    <row r="60" spans="1:19" s="71" customFormat="1" ht="15.75" thickBot="1" x14ac:dyDescent="0.3">
      <c r="A60" s="53" t="s">
        <v>593</v>
      </c>
      <c r="B60"/>
      <c r="C60" s="50"/>
      <c r="D60" s="50"/>
      <c r="E60"/>
      <c r="F60"/>
      <c r="G60"/>
      <c r="H60"/>
      <c r="I60"/>
      <c r="J60"/>
      <c r="K60"/>
      <c r="L60"/>
      <c r="M60"/>
      <c r="N60"/>
      <c r="O60"/>
      <c r="P60"/>
    </row>
    <row r="61" spans="1:19" s="71" customFormat="1" x14ac:dyDescent="0.25">
      <c r="A61" s="17"/>
      <c r="B61" s="29"/>
      <c r="C61" s="29"/>
      <c r="D61" s="29" t="s">
        <v>471</v>
      </c>
      <c r="E61" s="121" t="s">
        <v>472</v>
      </c>
      <c r="F61" s="121" t="s">
        <v>356</v>
      </c>
      <c r="G61" s="29" t="s">
        <v>112</v>
      </c>
      <c r="H61" s="29" t="s">
        <v>473</v>
      </c>
      <c r="I61" s="29" t="s">
        <v>357</v>
      </c>
      <c r="J61" s="29" t="s">
        <v>119</v>
      </c>
      <c r="K61" s="29" t="s">
        <v>94</v>
      </c>
      <c r="L61" s="29" t="s">
        <v>137</v>
      </c>
      <c r="M61" s="29" t="s">
        <v>322</v>
      </c>
      <c r="N61" s="29" t="s">
        <v>203</v>
      </c>
      <c r="O61" s="29" t="s">
        <v>32</v>
      </c>
      <c r="P61" s="29" t="s">
        <v>19</v>
      </c>
      <c r="Q61" s="29" t="s">
        <v>688</v>
      </c>
      <c r="R61" s="30" t="s">
        <v>689</v>
      </c>
    </row>
    <row r="62" spans="1:19" s="71" customFormat="1" x14ac:dyDescent="0.25">
      <c r="A62" s="86" t="s">
        <v>594</v>
      </c>
      <c r="B62" s="10"/>
      <c r="C62" s="10" t="s">
        <v>691</v>
      </c>
      <c r="D62" s="62">
        <v>0.98</v>
      </c>
      <c r="E62" s="68">
        <v>1.03</v>
      </c>
      <c r="F62" s="68">
        <v>0.3</v>
      </c>
      <c r="G62" s="62">
        <v>0.3</v>
      </c>
      <c r="H62" s="62">
        <v>1.51</v>
      </c>
      <c r="I62" s="62">
        <v>0.3</v>
      </c>
      <c r="J62" s="62">
        <v>0.28999999999999998</v>
      </c>
      <c r="K62" s="62">
        <v>0.3</v>
      </c>
      <c r="L62" s="62">
        <v>1.0900000000000001</v>
      </c>
      <c r="M62" s="62">
        <v>0.93</v>
      </c>
      <c r="N62" s="62">
        <v>0.1</v>
      </c>
      <c r="O62" s="62">
        <v>0.3</v>
      </c>
      <c r="P62" s="62">
        <v>0.3</v>
      </c>
      <c r="Q62" s="67">
        <v>0.31900000000000001</v>
      </c>
      <c r="R62" s="285">
        <v>0.31900000000000001</v>
      </c>
      <c r="S62" s="287" t="s">
        <v>690</v>
      </c>
    </row>
    <row r="63" spans="1:19" s="71" customFormat="1" x14ac:dyDescent="0.25">
      <c r="A63" s="86" t="s">
        <v>595</v>
      </c>
      <c r="B63" s="10"/>
      <c r="C63" s="10" t="s">
        <v>691</v>
      </c>
      <c r="D63" s="62">
        <v>0.59</v>
      </c>
      <c r="E63" s="68">
        <v>0.61</v>
      </c>
      <c r="F63" s="68">
        <v>0</v>
      </c>
      <c r="G63" s="62">
        <v>0</v>
      </c>
      <c r="H63" s="62">
        <v>0.52</v>
      </c>
      <c r="I63" s="62">
        <v>0</v>
      </c>
      <c r="J63" s="62">
        <v>0</v>
      </c>
      <c r="K63" s="62">
        <v>0</v>
      </c>
      <c r="L63" s="62">
        <v>0.88</v>
      </c>
      <c r="M63" s="62">
        <v>1.35</v>
      </c>
      <c r="N63" s="62">
        <v>1.06</v>
      </c>
      <c r="O63" s="62">
        <v>0</v>
      </c>
      <c r="P63" s="62">
        <v>0</v>
      </c>
      <c r="Q63" s="62">
        <v>0</v>
      </c>
      <c r="R63" s="193">
        <v>0</v>
      </c>
      <c r="S63" s="257" t="s">
        <v>690</v>
      </c>
    </row>
    <row r="64" spans="1:19" s="71" customFormat="1" x14ac:dyDescent="0.25">
      <c r="A64" s="86" t="s">
        <v>596</v>
      </c>
      <c r="B64" s="10"/>
      <c r="C64" s="10" t="s">
        <v>692</v>
      </c>
      <c r="D64" s="62">
        <v>7.0000000000000001E-3</v>
      </c>
      <c r="E64" s="68">
        <v>6.0000000000000001E-3</v>
      </c>
      <c r="F64" s="68">
        <v>1.4999999999999999E-2</v>
      </c>
      <c r="G64" s="62">
        <v>1.4999999999999999E-2</v>
      </c>
      <c r="H64" s="62">
        <v>6.0000000000000001E-3</v>
      </c>
      <c r="I64" s="62">
        <v>1.4999999999999999E-2</v>
      </c>
      <c r="J64" s="62">
        <v>2.7E-2</v>
      </c>
      <c r="K64" s="62">
        <v>2.7E-2</v>
      </c>
      <c r="L64" s="62">
        <v>6.0000000000000001E-3</v>
      </c>
      <c r="M64" s="62">
        <v>8.0000000000000002E-3</v>
      </c>
      <c r="N64" s="62">
        <v>1.9E-2</v>
      </c>
      <c r="O64" s="62">
        <v>1.4999999999999999E-2</v>
      </c>
      <c r="P64" s="62">
        <v>1.4999999999999999E-2</v>
      </c>
      <c r="Q64" s="62">
        <f>1.5%</f>
        <v>1.4999999999999999E-2</v>
      </c>
      <c r="R64" s="193">
        <f>1.5%</f>
        <v>1.4999999999999999E-2</v>
      </c>
      <c r="S64" s="257" t="s">
        <v>690</v>
      </c>
    </row>
    <row r="65" spans="1:19" s="71" customFormat="1" x14ac:dyDescent="0.25">
      <c r="A65" s="86" t="s">
        <v>597</v>
      </c>
      <c r="B65" s="10"/>
      <c r="C65" s="10" t="s">
        <v>691</v>
      </c>
      <c r="D65" s="62">
        <v>0.22</v>
      </c>
      <c r="E65" s="68">
        <v>0.22</v>
      </c>
      <c r="F65" s="68">
        <v>0.54</v>
      </c>
      <c r="G65" s="62">
        <v>0.54</v>
      </c>
      <c r="H65" s="62">
        <v>0.24</v>
      </c>
      <c r="I65" s="62">
        <v>0.54</v>
      </c>
      <c r="J65" s="62">
        <v>0.4</v>
      </c>
      <c r="K65" s="62">
        <v>0.4</v>
      </c>
      <c r="L65" s="62">
        <v>0.22</v>
      </c>
      <c r="M65" s="62">
        <v>0.19</v>
      </c>
      <c r="N65" s="62">
        <v>0.2</v>
      </c>
      <c r="O65" s="62">
        <v>0.8</v>
      </c>
      <c r="P65" s="62">
        <v>0.8</v>
      </c>
      <c r="Q65" s="67">
        <v>0.57140000000000002</v>
      </c>
      <c r="R65" s="285">
        <v>0.57140000000000002</v>
      </c>
      <c r="S65" s="257" t="s">
        <v>690</v>
      </c>
    </row>
    <row r="66" spans="1:19" s="71" customFormat="1" ht="15.75" thickBot="1" x14ac:dyDescent="0.3">
      <c r="A66" s="185" t="s">
        <v>598</v>
      </c>
      <c r="B66" s="31"/>
      <c r="C66" s="31" t="s">
        <v>692</v>
      </c>
      <c r="D66" s="63">
        <v>1.4E-2</v>
      </c>
      <c r="E66" s="263">
        <v>7.0000000000000001E-3</v>
      </c>
      <c r="F66" s="263">
        <v>1.2E-2</v>
      </c>
      <c r="G66" s="63">
        <v>1.2E-2</v>
      </c>
      <c r="H66" s="63">
        <v>8.9999999999999993E-3</v>
      </c>
      <c r="I66" s="63">
        <v>1.2E-2</v>
      </c>
      <c r="J66" s="63">
        <v>1.9E-2</v>
      </c>
      <c r="K66" s="63">
        <v>2.1999999999999999E-2</v>
      </c>
      <c r="L66" s="63">
        <v>8.9999999999999993E-3</v>
      </c>
      <c r="M66" s="63">
        <v>8.0000000000000002E-3</v>
      </c>
      <c r="N66" s="63">
        <v>1.4E-2</v>
      </c>
      <c r="O66" s="63">
        <v>1.2E-2</v>
      </c>
      <c r="P66" s="63">
        <v>1.2E-2</v>
      </c>
      <c r="Q66" s="272">
        <v>1.183E-2</v>
      </c>
      <c r="R66" s="286">
        <v>1.183E-2</v>
      </c>
      <c r="S66" s="257" t="s">
        <v>690</v>
      </c>
    </row>
    <row r="67" spans="1:19" s="71" customFormat="1" x14ac:dyDescent="0.25">
      <c r="A67" s="270" t="s">
        <v>604</v>
      </c>
      <c r="B67" s="11"/>
      <c r="C67" s="49"/>
      <c r="D67" s="50"/>
    </row>
    <row r="68" spans="1:19" s="71" customFormat="1" x14ac:dyDescent="0.25">
      <c r="A68" s="19"/>
      <c r="C68" s="50"/>
      <c r="D68" s="50"/>
    </row>
    <row r="69" spans="1:19" s="71" customFormat="1" x14ac:dyDescent="0.25">
      <c r="A69" s="265" t="s">
        <v>585</v>
      </c>
      <c r="B69" s="11"/>
      <c r="C69" s="49"/>
      <c r="D69" s="50"/>
    </row>
    <row r="70" spans="1:19" s="71" customFormat="1" x14ac:dyDescent="0.25">
      <c r="A70" s="19" t="s">
        <v>586</v>
      </c>
      <c r="B70" s="67">
        <v>0.01</v>
      </c>
      <c r="C70" s="49" t="s">
        <v>589</v>
      </c>
      <c r="D70" s="287" t="s">
        <v>690</v>
      </c>
    </row>
    <row r="71" spans="1:19" s="71" customFormat="1" x14ac:dyDescent="0.25">
      <c r="A71" s="19" t="s">
        <v>599</v>
      </c>
      <c r="B71" s="67">
        <v>0.1</v>
      </c>
      <c r="C71" s="10" t="s">
        <v>600</v>
      </c>
      <c r="D71" s="287" t="s">
        <v>690</v>
      </c>
    </row>
    <row r="72" spans="1:19" s="71" customFormat="1" x14ac:dyDescent="0.25">
      <c r="A72" s="19" t="s">
        <v>587</v>
      </c>
      <c r="B72" s="67">
        <v>0.01</v>
      </c>
      <c r="C72" s="49" t="s">
        <v>591</v>
      </c>
      <c r="D72" s="287" t="s">
        <v>690</v>
      </c>
    </row>
    <row r="73" spans="1:19" s="71" customFormat="1" x14ac:dyDescent="0.25">
      <c r="A73" s="19" t="s">
        <v>588</v>
      </c>
      <c r="B73" s="271">
        <v>7.4999999999999997E-3</v>
      </c>
      <c r="C73" s="49" t="s">
        <v>590</v>
      </c>
      <c r="D73" s="287" t="s">
        <v>690</v>
      </c>
    </row>
    <row r="74" spans="1:19" s="71" customFormat="1" x14ac:dyDescent="0.25">
      <c r="A74" s="19"/>
      <c r="B74" s="266"/>
      <c r="C74" s="49"/>
      <c r="D74" s="50"/>
    </row>
    <row r="75" spans="1:19" s="71" customFormat="1" x14ac:dyDescent="0.25">
      <c r="A75" s="19" t="s">
        <v>601</v>
      </c>
      <c r="B75" s="67">
        <v>0.3</v>
      </c>
      <c r="C75" s="10" t="s">
        <v>693</v>
      </c>
      <c r="D75" s="287" t="s">
        <v>690</v>
      </c>
    </row>
    <row r="76" spans="1:19" s="71" customFormat="1" x14ac:dyDescent="0.25">
      <c r="A76" s="19" t="s">
        <v>592</v>
      </c>
      <c r="B76" s="271">
        <f>44/28</f>
        <v>1.5714285714285714</v>
      </c>
      <c r="C76" s="49"/>
      <c r="D76" s="287" t="s">
        <v>690</v>
      </c>
    </row>
    <row r="77" spans="1:19" s="71" customFormat="1" x14ac:dyDescent="0.25">
      <c r="A77" s="19"/>
      <c r="B77" s="11"/>
      <c r="C77" s="49"/>
      <c r="D77" s="50"/>
    </row>
    <row r="78" spans="1:19" s="71" customFormat="1" x14ac:dyDescent="0.25">
      <c r="A78" s="19"/>
      <c r="B78" s="11"/>
      <c r="C78" s="49"/>
      <c r="D78" s="50"/>
    </row>
    <row r="79" spans="1:19" s="71" customFormat="1" ht="15.75" thickBot="1" x14ac:dyDescent="0.3">
      <c r="A79" s="195" t="s">
        <v>429</v>
      </c>
      <c r="B79" s="11"/>
      <c r="C79" s="49"/>
      <c r="D79" s="50"/>
    </row>
    <row r="80" spans="1:19" s="71" customFormat="1" ht="18" x14ac:dyDescent="0.35">
      <c r="A80" s="17" t="s">
        <v>24</v>
      </c>
      <c r="B80" s="264">
        <f>0.11*3.62</f>
        <v>0.3982</v>
      </c>
      <c r="C80" s="134" t="s">
        <v>191</v>
      </c>
      <c r="D80" s="50" t="s">
        <v>89</v>
      </c>
    </row>
    <row r="81" spans="1:7" s="71" customFormat="1" ht="18" x14ac:dyDescent="0.35">
      <c r="A81" s="19" t="s">
        <v>25</v>
      </c>
      <c r="B81" s="198">
        <f>1.05*3.62</f>
        <v>3.8010000000000002</v>
      </c>
      <c r="C81" s="178" t="s">
        <v>191</v>
      </c>
      <c r="D81" s="50" t="s">
        <v>89</v>
      </c>
    </row>
    <row r="82" spans="1:7" s="71" customFormat="1" ht="18" x14ac:dyDescent="0.35">
      <c r="A82" s="19" t="s">
        <v>26</v>
      </c>
      <c r="B82" s="198">
        <f>0.11*3.62</f>
        <v>0.3982</v>
      </c>
      <c r="C82" s="178" t="s">
        <v>191</v>
      </c>
      <c r="D82" s="50" t="s">
        <v>89</v>
      </c>
    </row>
    <row r="83" spans="1:7" s="71" customFormat="1" ht="18" x14ac:dyDescent="0.35">
      <c r="A83" s="19" t="s">
        <v>119</v>
      </c>
      <c r="B83" s="198">
        <f>2.63*3.62/3</f>
        <v>3.1735333333333333</v>
      </c>
      <c r="C83" s="178" t="s">
        <v>191</v>
      </c>
      <c r="D83" s="50" t="s">
        <v>89</v>
      </c>
    </row>
    <row r="84" spans="1:7" s="71" customFormat="1" ht="18" x14ac:dyDescent="0.35">
      <c r="A84" s="19" t="s">
        <v>94</v>
      </c>
      <c r="B84" s="198">
        <f>1.72*3.62/3</f>
        <v>2.0754666666666668</v>
      </c>
      <c r="C84" s="178" t="s">
        <v>191</v>
      </c>
      <c r="D84" s="50" t="s">
        <v>89</v>
      </c>
    </row>
    <row r="85" spans="1:7" s="71" customFormat="1" ht="18" x14ac:dyDescent="0.35">
      <c r="A85" s="19" t="s">
        <v>137</v>
      </c>
      <c r="B85" s="67">
        <f>0.316+0+0.001*B5</f>
        <v>0.61399999999999999</v>
      </c>
      <c r="C85" s="178" t="s">
        <v>191</v>
      </c>
      <c r="D85" s="50" t="s">
        <v>207</v>
      </c>
    </row>
    <row r="86" spans="1:7" s="71" customFormat="1" ht="18" x14ac:dyDescent="0.35">
      <c r="A86" s="19" t="s">
        <v>322</v>
      </c>
      <c r="B86" s="198">
        <f>0.25*3.62</f>
        <v>0.90500000000000003</v>
      </c>
      <c r="C86" s="178" t="s">
        <v>191</v>
      </c>
      <c r="D86" s="50" t="s">
        <v>89</v>
      </c>
    </row>
    <row r="87" spans="1:7" s="71" customFormat="1" ht="18" x14ac:dyDescent="0.35">
      <c r="A87" s="19" t="s">
        <v>203</v>
      </c>
      <c r="B87" s="67">
        <f>1.775+0.002*B4+0.001*B5</f>
        <v>2.1229999999999998</v>
      </c>
      <c r="C87" s="178" t="s">
        <v>191</v>
      </c>
      <c r="D87" s="50" t="s">
        <v>207</v>
      </c>
    </row>
    <row r="88" spans="1:7" s="71" customFormat="1" ht="18" x14ac:dyDescent="0.35">
      <c r="A88" s="19" t="s">
        <v>32</v>
      </c>
      <c r="B88" s="67">
        <f>0.28+0.000000954*B4+0.000000015*B5</f>
        <v>0.28002832</v>
      </c>
      <c r="C88" s="178" t="s">
        <v>619</v>
      </c>
      <c r="D88" s="50" t="s">
        <v>207</v>
      </c>
    </row>
    <row r="89" spans="1:7" s="71" customFormat="1" ht="18" x14ac:dyDescent="0.35">
      <c r="A89" s="19" t="s">
        <v>19</v>
      </c>
      <c r="B89" s="198">
        <v>0.73399999999999999</v>
      </c>
      <c r="C89" s="289" t="s">
        <v>191</v>
      </c>
      <c r="D89" s="203" t="s">
        <v>213</v>
      </c>
    </row>
    <row r="90" spans="1:7" s="71" customFormat="1" ht="15.75" thickBot="1" x14ac:dyDescent="0.3">
      <c r="A90" s="21" t="s">
        <v>610</v>
      </c>
      <c r="B90" s="272">
        <f>0.0043+(0.000000851)*B4+(0.0000034)*B5</f>
        <v>5.334475E-3</v>
      </c>
      <c r="C90" s="288" t="s">
        <v>611</v>
      </c>
      <c r="D90" s="50" t="s">
        <v>333</v>
      </c>
    </row>
    <row r="91" spans="1:7" s="71" customFormat="1" x14ac:dyDescent="0.25">
      <c r="A91" s="13"/>
      <c r="B91" s="274"/>
      <c r="C91" s="49"/>
      <c r="D91" s="50"/>
    </row>
    <row r="92" spans="1:7" s="71" customFormat="1" ht="20.25" thickBot="1" x14ac:dyDescent="0.35">
      <c r="A92" s="201" t="s">
        <v>430</v>
      </c>
      <c r="C92" s="50"/>
      <c r="D92" s="50"/>
    </row>
    <row r="93" spans="1:7" s="71" customFormat="1" x14ac:dyDescent="0.25">
      <c r="A93" s="39" t="s">
        <v>331</v>
      </c>
      <c r="B93" s="165">
        <f>B96</f>
        <v>16.459499999999998</v>
      </c>
      <c r="C93" s="49"/>
      <c r="D93" s="50"/>
    </row>
    <row r="94" spans="1:7" s="71" customFormat="1" x14ac:dyDescent="0.25">
      <c r="A94" s="19" t="s">
        <v>280</v>
      </c>
      <c r="B94" s="131">
        <f>COUNT(B98:B101)</f>
        <v>4</v>
      </c>
      <c r="C94" s="49"/>
      <c r="D94" s="50"/>
    </row>
    <row r="95" spans="1:7" s="8" customFormat="1" x14ac:dyDescent="0.25">
      <c r="A95" s="48" t="s">
        <v>281</v>
      </c>
      <c r="B95" s="131">
        <f>STDEV(B98:B101)</f>
        <v>8.4008287091215035</v>
      </c>
      <c r="C95" s="49"/>
      <c r="D95" s="292"/>
      <c r="E95" s="71"/>
      <c r="F95" s="71"/>
      <c r="G95" s="71"/>
    </row>
    <row r="96" spans="1:7" s="8" customFormat="1" x14ac:dyDescent="0.25">
      <c r="A96" s="19" t="s">
        <v>279</v>
      </c>
      <c r="B96" s="131">
        <f>AVERAGE(B98:B101)</f>
        <v>16.459499999999998</v>
      </c>
      <c r="C96" s="50"/>
      <c r="D96" s="50"/>
      <c r="E96" s="71"/>
      <c r="F96" s="71"/>
      <c r="G96" s="71"/>
    </row>
    <row r="97" spans="1:9" s="8" customFormat="1" ht="15.75" thickBot="1" x14ac:dyDescent="0.3">
      <c r="A97" s="48" t="s">
        <v>283</v>
      </c>
      <c r="B97" s="131">
        <f>CONFIDENCE(0.05,B95,B94)</f>
        <v>8.2326608550841289</v>
      </c>
      <c r="C97" s="49"/>
      <c r="D97" s="50"/>
      <c r="E97" s="71"/>
      <c r="F97" s="71"/>
      <c r="G97" s="71"/>
    </row>
    <row r="98" spans="1:9" s="71" customFormat="1" ht="18" x14ac:dyDescent="0.35">
      <c r="A98" s="82" t="s">
        <v>189</v>
      </c>
      <c r="B98" s="337">
        <f>4.921+0.00018*B6+0.00151*B7</f>
        <v>4.9210000000000003</v>
      </c>
      <c r="C98" s="290" t="s">
        <v>178</v>
      </c>
      <c r="D98" s="50" t="s">
        <v>207</v>
      </c>
      <c r="E98"/>
      <c r="F98"/>
      <c r="G98"/>
    </row>
    <row r="99" spans="1:9" s="71" customFormat="1" ht="18" x14ac:dyDescent="0.35">
      <c r="A99" s="40" t="s">
        <v>190</v>
      </c>
      <c r="B99" s="73">
        <v>25</v>
      </c>
      <c r="C99" s="289" t="s">
        <v>178</v>
      </c>
      <c r="D99" s="203" t="s">
        <v>242</v>
      </c>
      <c r="E99" s="8"/>
    </row>
    <row r="100" spans="1:9" s="71" customFormat="1" ht="18" x14ac:dyDescent="0.35">
      <c r="A100" s="40" t="s">
        <v>211</v>
      </c>
      <c r="B100" s="73">
        <v>17.2</v>
      </c>
      <c r="C100" s="289" t="s">
        <v>319</v>
      </c>
      <c r="D100" s="203" t="s">
        <v>89</v>
      </c>
      <c r="E100" s="8"/>
    </row>
    <row r="101" spans="1:9" s="71" customFormat="1" ht="18.75" thickBot="1" x14ac:dyDescent="0.4">
      <c r="A101" s="21" t="s">
        <v>294</v>
      </c>
      <c r="B101" s="338">
        <f>5.1*3.67</f>
        <v>18.716999999999999</v>
      </c>
      <c r="C101" s="303" t="s">
        <v>178</v>
      </c>
      <c r="D101" s="50" t="s">
        <v>318</v>
      </c>
    </row>
    <row r="102" spans="1:9" s="71" customFormat="1" x14ac:dyDescent="0.25"/>
    <row r="103" spans="1:9" s="71" customFormat="1" ht="15.75" thickBot="1" x14ac:dyDescent="0.3">
      <c r="A103" s="10"/>
      <c r="B103" s="73"/>
      <c r="C103" s="49"/>
      <c r="D103" s="50"/>
    </row>
    <row r="104" spans="1:9" s="71" customFormat="1" x14ac:dyDescent="0.25">
      <c r="A104" s="39" t="s">
        <v>109</v>
      </c>
      <c r="B104" s="165">
        <f>B107</f>
        <v>22.8</v>
      </c>
      <c r="C104" s="49"/>
      <c r="D104" s="50"/>
    </row>
    <row r="105" spans="1:9" s="8" customFormat="1" x14ac:dyDescent="0.25">
      <c r="A105" s="19" t="s">
        <v>280</v>
      </c>
      <c r="B105" s="131">
        <f>COUNT(B109:B110)</f>
        <v>2</v>
      </c>
      <c r="C105" s="49"/>
      <c r="D105" s="50"/>
      <c r="E105" s="71"/>
      <c r="F105" s="71"/>
      <c r="G105" s="71"/>
    </row>
    <row r="106" spans="1:9" s="71" customFormat="1" x14ac:dyDescent="0.25">
      <c r="A106" s="48" t="s">
        <v>281</v>
      </c>
      <c r="B106" s="131">
        <f>STDEV(B109:B110)</f>
        <v>6.6468037431535514</v>
      </c>
      <c r="C106" s="49"/>
      <c r="D106" s="50"/>
    </row>
    <row r="107" spans="1:9" s="71" customFormat="1" x14ac:dyDescent="0.25">
      <c r="A107" s="40" t="s">
        <v>279</v>
      </c>
      <c r="B107" s="340">
        <f>AVERAGE(B109:B110)</f>
        <v>22.8</v>
      </c>
      <c r="C107" s="203"/>
      <c r="D107" s="203"/>
      <c r="E107" s="8"/>
      <c r="F107" s="8"/>
      <c r="G107" s="8"/>
      <c r="H107" s="8"/>
      <c r="I107" s="8"/>
    </row>
    <row r="108" spans="1:9" s="71" customFormat="1" ht="15.75" thickBot="1" x14ac:dyDescent="0.3">
      <c r="A108" s="86" t="s">
        <v>283</v>
      </c>
      <c r="B108" s="340">
        <f>CONFIDENCE(0.05,B106,B105)</f>
        <v>9.211830727338258</v>
      </c>
      <c r="C108" s="203"/>
      <c r="D108" s="203"/>
      <c r="E108" s="8"/>
      <c r="F108" s="8"/>
      <c r="G108" s="8"/>
      <c r="H108" s="8"/>
      <c r="I108" s="8"/>
    </row>
    <row r="109" spans="1:9" s="71" customFormat="1" ht="18" x14ac:dyDescent="0.35">
      <c r="A109" s="82" t="s">
        <v>377</v>
      </c>
      <c r="B109" s="85">
        <v>18.100000000000001</v>
      </c>
      <c r="C109" s="290" t="s">
        <v>178</v>
      </c>
      <c r="D109" s="203" t="s">
        <v>89</v>
      </c>
      <c r="E109" s="8"/>
      <c r="F109" s="8"/>
      <c r="G109" s="8"/>
      <c r="H109" s="8"/>
      <c r="I109" s="8"/>
    </row>
    <row r="110" spans="1:9" s="71" customFormat="1" ht="18.75" thickBot="1" x14ac:dyDescent="0.4">
      <c r="A110" s="21" t="s">
        <v>313</v>
      </c>
      <c r="B110" s="58">
        <f>(26+29)/2</f>
        <v>27.5</v>
      </c>
      <c r="C110" s="303" t="s">
        <v>178</v>
      </c>
      <c r="D110" s="203" t="s">
        <v>242</v>
      </c>
      <c r="E110" s="8"/>
      <c r="F110" s="8"/>
      <c r="G110" s="8"/>
      <c r="H110" s="8"/>
      <c r="I110" s="8"/>
    </row>
    <row r="111" spans="1:9" s="71" customFormat="1" x14ac:dyDescent="0.25">
      <c r="A111" s="13"/>
      <c r="B111" s="13"/>
      <c r="C111" s="69"/>
      <c r="D111" s="203"/>
      <c r="E111" s="8"/>
      <c r="F111" s="8"/>
      <c r="G111" s="8"/>
      <c r="H111" s="8"/>
      <c r="I111" s="8"/>
    </row>
    <row r="112" spans="1:9" s="71" customFormat="1" ht="20.25" thickBot="1" x14ac:dyDescent="0.35">
      <c r="A112" s="201" t="s">
        <v>431</v>
      </c>
      <c r="B112" s="13"/>
      <c r="C112" s="69"/>
      <c r="D112" s="203"/>
      <c r="E112" s="8"/>
      <c r="F112" s="8"/>
      <c r="G112" s="8"/>
      <c r="H112" s="8"/>
      <c r="I112" s="8"/>
    </row>
    <row r="113" spans="1:10" s="71" customFormat="1" x14ac:dyDescent="0.25">
      <c r="A113" s="39" t="s">
        <v>6</v>
      </c>
      <c r="B113" s="164">
        <f>B116</f>
        <v>3.3028214285714279</v>
      </c>
      <c r="C113" s="49"/>
      <c r="D113" s="50"/>
    </row>
    <row r="114" spans="1:10" s="71" customFormat="1" x14ac:dyDescent="0.25">
      <c r="A114" s="19" t="s">
        <v>280</v>
      </c>
      <c r="B114" s="131">
        <f>COUNT(B118:B124)</f>
        <v>7</v>
      </c>
      <c r="C114" s="49"/>
      <c r="D114" s="50"/>
    </row>
    <row r="115" spans="1:10" s="71" customFormat="1" x14ac:dyDescent="0.25">
      <c r="A115" s="48" t="s">
        <v>281</v>
      </c>
      <c r="B115" s="131">
        <f>STDEV(B118:B124)</f>
        <v>0.59168521181533162</v>
      </c>
      <c r="C115" s="49"/>
      <c r="D115" s="50"/>
    </row>
    <row r="116" spans="1:10" s="71" customFormat="1" x14ac:dyDescent="0.25">
      <c r="A116" s="19" t="s">
        <v>279</v>
      </c>
      <c r="B116" s="131">
        <f>AVERAGE(B118:B124)</f>
        <v>3.3028214285714279</v>
      </c>
      <c r="C116" s="50"/>
      <c r="D116" s="50"/>
    </row>
    <row r="117" spans="1:10" s="71" customFormat="1" ht="15.75" thickBot="1" x14ac:dyDescent="0.3">
      <c r="A117" s="48" t="s">
        <v>283</v>
      </c>
      <c r="B117" s="131">
        <f>CONFIDENCE(0.05,B115,B114)</f>
        <v>0.43831848461841</v>
      </c>
      <c r="C117" s="49"/>
      <c r="D117" s="50"/>
    </row>
    <row r="118" spans="1:10" s="71" customFormat="1" ht="18" x14ac:dyDescent="0.35">
      <c r="A118" s="17" t="s">
        <v>151</v>
      </c>
      <c r="B118" s="313">
        <v>4.1500000000000004</v>
      </c>
      <c r="C118" s="134" t="s">
        <v>249</v>
      </c>
      <c r="D118" s="50" t="s">
        <v>373</v>
      </c>
      <c r="E118" s="8"/>
      <c r="F118" s="8"/>
      <c r="G118" s="8"/>
    </row>
    <row r="119" spans="1:10" s="71" customFormat="1" ht="18" x14ac:dyDescent="0.35">
      <c r="A119" s="19" t="s">
        <v>16</v>
      </c>
      <c r="B119" s="13">
        <v>3.52</v>
      </c>
      <c r="C119" s="289" t="s">
        <v>249</v>
      </c>
      <c r="D119" s="203" t="s">
        <v>242</v>
      </c>
    </row>
    <row r="120" spans="1:10" s="71" customFormat="1" x14ac:dyDescent="0.25">
      <c r="A120" s="19" t="s">
        <v>17</v>
      </c>
      <c r="B120" s="11">
        <v>3.11</v>
      </c>
      <c r="C120" s="178" t="s">
        <v>314</v>
      </c>
      <c r="D120" s="50" t="s">
        <v>89</v>
      </c>
      <c r="I120"/>
      <c r="J120"/>
    </row>
    <row r="121" spans="1:10" s="71" customFormat="1" x14ac:dyDescent="0.25">
      <c r="A121" s="19" t="s">
        <v>18</v>
      </c>
      <c r="B121" s="11">
        <v>3.92</v>
      </c>
      <c r="C121" s="178" t="s">
        <v>314</v>
      </c>
      <c r="D121" s="50" t="s">
        <v>318</v>
      </c>
    </row>
    <row r="122" spans="1:10" s="71" customFormat="1" x14ac:dyDescent="0.25">
      <c r="A122" s="19" t="s">
        <v>803</v>
      </c>
      <c r="B122" s="11">
        <v>3.1477499999999998</v>
      </c>
      <c r="C122" s="178" t="s">
        <v>314</v>
      </c>
      <c r="D122" s="50" t="s">
        <v>321</v>
      </c>
    </row>
    <row r="123" spans="1:10" s="71" customFormat="1" x14ac:dyDescent="0.25">
      <c r="A123" s="19" t="s">
        <v>95</v>
      </c>
      <c r="B123" s="11">
        <v>2.59</v>
      </c>
      <c r="C123" s="178" t="s">
        <v>314</v>
      </c>
      <c r="D123" s="50" t="s">
        <v>355</v>
      </c>
    </row>
    <row r="124" spans="1:10" s="71" customFormat="1" ht="18.75" thickBot="1" x14ac:dyDescent="0.4">
      <c r="A124" s="27" t="s">
        <v>121</v>
      </c>
      <c r="B124" s="22">
        <f>2.682</f>
        <v>2.6819999999999999</v>
      </c>
      <c r="C124" s="288" t="s">
        <v>249</v>
      </c>
      <c r="D124" s="50" t="s">
        <v>245</v>
      </c>
    </row>
    <row r="125" spans="1:10" s="71" customFormat="1" x14ac:dyDescent="0.25">
      <c r="A125" s="10"/>
      <c r="B125" s="11"/>
      <c r="C125" s="49"/>
      <c r="D125" s="50"/>
    </row>
    <row r="126" spans="1:10" s="71" customFormat="1" x14ac:dyDescent="0.25">
      <c r="A126" s="13" t="s">
        <v>919</v>
      </c>
      <c r="B126" s="11">
        <f>(3.12+0.000129*B4+0.00012*B5)*B133</f>
        <v>2.6535473999999999</v>
      </c>
      <c r="C126" s="49" t="s">
        <v>314</v>
      </c>
      <c r="D126" s="71" t="s">
        <v>901</v>
      </c>
    </row>
    <row r="127" spans="1:10" s="71" customFormat="1" x14ac:dyDescent="0.25">
      <c r="A127" s="10"/>
      <c r="B127" s="11"/>
      <c r="C127" s="49"/>
      <c r="D127" s="50"/>
    </row>
    <row r="128" spans="1:10" s="71" customFormat="1" ht="18" x14ac:dyDescent="0.35">
      <c r="A128" s="71" t="s">
        <v>446</v>
      </c>
      <c r="B128" s="100">
        <f>0.05</f>
        <v>0.05</v>
      </c>
      <c r="C128" s="50" t="s">
        <v>178</v>
      </c>
      <c r="D128" s="50" t="s">
        <v>242</v>
      </c>
      <c r="E128" s="10"/>
      <c r="F128" s="10"/>
    </row>
    <row r="129" spans="1:8" s="71" customFormat="1" ht="18" x14ac:dyDescent="0.35">
      <c r="A129" s="71" t="s">
        <v>1010</v>
      </c>
      <c r="B129" s="7">
        <v>0.08</v>
      </c>
      <c r="C129" s="50" t="s">
        <v>179</v>
      </c>
      <c r="D129" s="50" t="s">
        <v>242</v>
      </c>
    </row>
    <row r="131" spans="1:8" x14ac:dyDescent="0.25">
      <c r="A131" s="1" t="s">
        <v>385</v>
      </c>
    </row>
    <row r="132" spans="1:8" x14ac:dyDescent="0.25">
      <c r="A132" s="71" t="s">
        <v>317</v>
      </c>
      <c r="B132" s="100">
        <f>(12+16*2)/12</f>
        <v>3.6666666666666665</v>
      </c>
    </row>
    <row r="133" spans="1:8" x14ac:dyDescent="0.25">
      <c r="A133" t="s">
        <v>917</v>
      </c>
      <c r="B133">
        <v>0.84</v>
      </c>
      <c r="C133" s="50" t="s">
        <v>918</v>
      </c>
      <c r="D133" s="50" t="s">
        <v>901</v>
      </c>
    </row>
    <row r="135" spans="1:8" x14ac:dyDescent="0.25">
      <c r="H135" s="71"/>
    </row>
    <row r="136" spans="1:8" x14ac:dyDescent="0.25">
      <c r="H136" s="71"/>
    </row>
    <row r="137" spans="1:8" x14ac:dyDescent="0.25">
      <c r="H137" s="71"/>
    </row>
    <row r="138" spans="1:8" x14ac:dyDescent="0.25">
      <c r="H138" s="71"/>
    </row>
    <row r="139" spans="1:8" x14ac:dyDescent="0.25">
      <c r="H139" s="71"/>
    </row>
    <row r="141" spans="1:8" x14ac:dyDescent="0.25">
      <c r="H141" s="71"/>
    </row>
    <row r="142" spans="1:8" x14ac:dyDescent="0.25">
      <c r="H142" s="71"/>
    </row>
    <row r="143" spans="1:8" x14ac:dyDescent="0.25">
      <c r="H143" s="71"/>
    </row>
    <row r="144" spans="1:8" x14ac:dyDescent="0.25">
      <c r="H144" s="71"/>
    </row>
    <row r="145" spans="8:8" x14ac:dyDescent="0.25">
      <c r="H145" s="71"/>
    </row>
    <row r="146" spans="8:8" x14ac:dyDescent="0.25">
      <c r="H146" s="71"/>
    </row>
    <row r="147" spans="8:8" x14ac:dyDescent="0.25">
      <c r="H147" s="71"/>
    </row>
    <row r="148" spans="8:8" x14ac:dyDescent="0.25">
      <c r="H148" s="71"/>
    </row>
    <row r="149" spans="8:8" x14ac:dyDescent="0.25">
      <c r="H149" s="71"/>
    </row>
    <row r="150" spans="8:8" x14ac:dyDescent="0.25">
      <c r="H150" s="71"/>
    </row>
    <row r="151" spans="8:8" x14ac:dyDescent="0.25">
      <c r="H151" s="8"/>
    </row>
    <row r="152" spans="8:8" x14ac:dyDescent="0.25">
      <c r="H152" s="8"/>
    </row>
    <row r="153" spans="8:8" x14ac:dyDescent="0.25">
      <c r="H153" s="8"/>
    </row>
    <row r="154" spans="8:8" x14ac:dyDescent="0.25">
      <c r="H154" s="71"/>
    </row>
    <row r="155" spans="8:8" x14ac:dyDescent="0.25">
      <c r="H155" s="71"/>
    </row>
    <row r="156" spans="8:8" x14ac:dyDescent="0.25">
      <c r="H156" s="71"/>
    </row>
    <row r="157" spans="8:8" x14ac:dyDescent="0.25">
      <c r="H157" s="71"/>
    </row>
    <row r="158" spans="8:8" x14ac:dyDescent="0.25">
      <c r="H158" s="71"/>
    </row>
    <row r="159" spans="8:8" x14ac:dyDescent="0.25">
      <c r="H159" s="71"/>
    </row>
    <row r="160" spans="8:8" x14ac:dyDescent="0.25">
      <c r="H160" s="71"/>
    </row>
    <row r="161" spans="8:8" x14ac:dyDescent="0.25">
      <c r="H161" s="8"/>
    </row>
    <row r="162" spans="8:8" x14ac:dyDescent="0.25">
      <c r="H162" s="71"/>
    </row>
    <row r="163" spans="8:8" x14ac:dyDescent="0.25">
      <c r="H163" s="71"/>
    </row>
    <row r="164" spans="8:8" x14ac:dyDescent="0.25">
      <c r="H164" s="71"/>
    </row>
    <row r="165" spans="8:8" x14ac:dyDescent="0.25">
      <c r="H165" s="71"/>
    </row>
    <row r="166" spans="8:8" x14ac:dyDescent="0.25">
      <c r="H166" s="71"/>
    </row>
    <row r="167" spans="8:8" x14ac:dyDescent="0.25">
      <c r="H167" s="71"/>
    </row>
    <row r="168" spans="8:8" x14ac:dyDescent="0.25">
      <c r="H168" s="71"/>
    </row>
    <row r="169" spans="8:8" x14ac:dyDescent="0.25">
      <c r="H169" s="71"/>
    </row>
    <row r="170" spans="8:8" x14ac:dyDescent="0.25">
      <c r="H170" s="71"/>
    </row>
    <row r="171" spans="8:8" x14ac:dyDescent="0.25">
      <c r="H171" s="71"/>
    </row>
    <row r="172" spans="8:8" x14ac:dyDescent="0.25">
      <c r="H172" s="71"/>
    </row>
    <row r="173" spans="8:8" x14ac:dyDescent="0.25">
      <c r="H173" s="71"/>
    </row>
    <row r="174" spans="8:8" x14ac:dyDescent="0.25">
      <c r="H174" s="71"/>
    </row>
    <row r="175" spans="8:8" x14ac:dyDescent="0.25">
      <c r="H175" s="71"/>
    </row>
    <row r="176" spans="8:8" x14ac:dyDescent="0.25">
      <c r="H176" s="71"/>
    </row>
    <row r="178" spans="8:8" x14ac:dyDescent="0.25">
      <c r="H178" s="71"/>
    </row>
    <row r="179" spans="8:8" x14ac:dyDescent="0.25">
      <c r="H179" s="71"/>
    </row>
    <row r="180" spans="8:8" x14ac:dyDescent="0.25">
      <c r="H180" s="71"/>
    </row>
    <row r="181" spans="8:8" x14ac:dyDescent="0.25">
      <c r="H181" s="71"/>
    </row>
  </sheetData>
  <pageMargins left="0.511811024" right="0.511811024" top="0.78740157499999996" bottom="0.78740157499999996" header="0.31496062000000002" footer="0.31496062000000002"/>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ET150"/>
  <sheetViews>
    <sheetView showGridLines="0" tabSelected="1" zoomScale="70" zoomScaleNormal="70" workbookViewId="0"/>
  </sheetViews>
  <sheetFormatPr defaultRowHeight="15" x14ac:dyDescent="0.25"/>
  <cols>
    <col min="1" max="1" width="33.7109375" style="71" customWidth="1"/>
    <col min="2" max="2" width="23" style="71" bestFit="1" customWidth="1"/>
    <col min="3" max="11" width="12" style="71" customWidth="1"/>
    <col min="12" max="12" width="11.28515625" style="71" customWidth="1"/>
    <col min="13" max="13" width="11.42578125" style="71" customWidth="1"/>
    <col min="14" max="14" width="12.140625" style="71" customWidth="1"/>
    <col min="15" max="15" width="13.140625" style="71" customWidth="1"/>
    <col min="16" max="16" width="10.85546875" style="71" bestFit="1" customWidth="1"/>
    <col min="17" max="18" width="13.140625" style="71" customWidth="1"/>
    <col min="19" max="20" width="13.140625" style="8" customWidth="1"/>
    <col min="21" max="21" width="12.42578125" style="71" customWidth="1"/>
    <col min="22" max="22" width="11.85546875" style="71" customWidth="1"/>
    <col min="23" max="23" width="16.42578125" style="71" customWidth="1"/>
    <col min="24" max="24" width="10.7109375" style="71" customWidth="1"/>
    <col min="25" max="25" width="16.42578125" style="71" customWidth="1"/>
    <col min="26" max="26" width="32.28515625" style="71" customWidth="1"/>
    <col min="27" max="27" width="12.5703125" style="71" customWidth="1"/>
    <col min="28" max="28" width="14.7109375" style="71" customWidth="1"/>
    <col min="29" max="29" width="10" style="71" customWidth="1"/>
    <col min="30" max="30" width="9.140625" style="71"/>
    <col min="31" max="35" width="11.42578125" style="71" customWidth="1"/>
    <col min="36" max="37" width="13.5703125" style="71" customWidth="1"/>
    <col min="38" max="38" width="8.28515625" style="71" customWidth="1"/>
    <col min="39" max="40" width="9.140625" style="71"/>
    <col min="41" max="41" width="11.28515625" style="71" customWidth="1"/>
    <col min="42" max="42" width="11.5703125" style="71" customWidth="1"/>
    <col min="43" max="43" width="18.140625" style="71" customWidth="1"/>
    <col min="44" max="44" width="12.28515625" style="71" customWidth="1"/>
    <col min="45" max="45" width="18.42578125" style="71" customWidth="1"/>
    <col min="46" max="46" width="29.28515625" style="71" customWidth="1"/>
    <col min="47" max="47" width="13.140625" style="71" customWidth="1"/>
    <col min="48" max="48" width="9.140625" style="71"/>
    <col min="49" max="49" width="36.28515625" style="71" customWidth="1"/>
    <col min="50" max="50" width="11.42578125" style="71" customWidth="1"/>
    <col min="51" max="51" width="9.28515625" style="71" bestFit="1" customWidth="1"/>
    <col min="52" max="52" width="10.28515625" style="71" bestFit="1" customWidth="1"/>
    <col min="53" max="53" width="11" style="71" customWidth="1"/>
    <col min="54" max="54" width="19.7109375" style="71" customWidth="1"/>
    <col min="55" max="55" width="15" style="71" customWidth="1"/>
    <col min="56" max="56" width="11.85546875" style="71" customWidth="1"/>
    <col min="57" max="57" width="15.28515625" style="71" customWidth="1"/>
    <col min="58" max="58" width="9.7109375" style="71" customWidth="1"/>
    <col min="59" max="59" width="10.140625" style="71" bestFit="1" customWidth="1"/>
    <col min="60" max="60" width="11.85546875" style="71" customWidth="1"/>
    <col min="61" max="61" width="10.7109375" style="71" customWidth="1"/>
    <col min="62" max="62" width="13.140625" style="71" customWidth="1"/>
    <col min="63" max="63" width="13.7109375" style="71" customWidth="1"/>
    <col min="64" max="64" width="10.28515625" style="71" bestFit="1" customWidth="1"/>
    <col min="65" max="65" width="9.28515625" style="71" bestFit="1" customWidth="1"/>
    <col min="66" max="66" width="10.140625" style="71" bestFit="1" customWidth="1"/>
    <col min="67" max="70" width="9.140625" style="71"/>
    <col min="71" max="71" width="9.42578125" style="71" bestFit="1" customWidth="1"/>
    <col min="72" max="73" width="9.140625" style="71"/>
    <col min="74" max="74" width="17.42578125" style="71" customWidth="1"/>
    <col min="75" max="75" width="10.5703125" style="71" customWidth="1"/>
    <col min="76" max="76" width="9.140625" style="71"/>
    <col min="77" max="77" width="9.28515625" style="71" bestFit="1" customWidth="1"/>
    <col min="78" max="78" width="9.140625" style="71"/>
    <col min="79" max="79" width="10.7109375" style="71" customWidth="1"/>
    <col min="80" max="80" width="11.85546875" style="71" customWidth="1"/>
    <col min="81" max="92" width="9.140625" style="71"/>
    <col min="93" max="93" width="11.140625" style="71" customWidth="1"/>
    <col min="94" max="16384" width="9.140625" style="71"/>
  </cols>
  <sheetData>
    <row r="1" spans="1:150" ht="23.25" x14ac:dyDescent="0.35">
      <c r="A1" s="159" t="s">
        <v>364</v>
      </c>
      <c r="B1" s="8"/>
      <c r="C1" s="71" t="s">
        <v>323</v>
      </c>
      <c r="D1" s="425">
        <v>1</v>
      </c>
      <c r="F1" s="8"/>
      <c r="G1" s="8"/>
      <c r="H1" s="8"/>
      <c r="I1" s="8"/>
      <c r="J1" s="8"/>
      <c r="K1" s="8"/>
    </row>
    <row r="2" spans="1:150" x14ac:dyDescent="0.25">
      <c r="A2" s="1"/>
    </row>
    <row r="3" spans="1:150" x14ac:dyDescent="0.25">
      <c r="A3" s="1"/>
      <c r="T3" s="426" t="s">
        <v>475</v>
      </c>
      <c r="U3" s="427"/>
      <c r="V3" s="427"/>
      <c r="W3" s="428"/>
    </row>
    <row r="4" spans="1:150" ht="18" thickBot="1" x14ac:dyDescent="0.35">
      <c r="A4" s="160" t="s">
        <v>9</v>
      </c>
      <c r="Q4" s="2"/>
      <c r="R4" s="71" t="s">
        <v>477</v>
      </c>
      <c r="T4" s="429" t="s">
        <v>154</v>
      </c>
      <c r="U4" s="430"/>
      <c r="V4" s="430"/>
      <c r="W4" s="431"/>
      <c r="DX4" s="10"/>
      <c r="DY4" s="10"/>
      <c r="DZ4" s="10"/>
      <c r="EA4" s="10"/>
      <c r="EB4" s="10"/>
      <c r="EC4" s="10"/>
      <c r="ED4" s="10"/>
      <c r="EE4" s="10"/>
      <c r="EF4" s="10"/>
      <c r="EG4" s="10"/>
      <c r="EH4" s="10"/>
      <c r="EI4" s="10"/>
      <c r="EJ4" s="10"/>
      <c r="EK4" s="10"/>
      <c r="EL4" s="10"/>
      <c r="EM4" s="10"/>
      <c r="EN4" s="10"/>
      <c r="EO4" s="10"/>
      <c r="EP4" s="10"/>
      <c r="EQ4" s="10"/>
      <c r="ER4" s="10"/>
      <c r="ES4" s="10"/>
      <c r="ET4" s="10"/>
    </row>
    <row r="5" spans="1:150" ht="19.5" thickBot="1" x14ac:dyDescent="0.35">
      <c r="A5" s="71" t="s">
        <v>91</v>
      </c>
      <c r="B5" s="102"/>
      <c r="C5" s="209">
        <v>0</v>
      </c>
      <c r="D5" s="209">
        <v>100</v>
      </c>
      <c r="E5" s="209">
        <v>0</v>
      </c>
      <c r="F5" s="209">
        <v>0</v>
      </c>
      <c r="G5" s="209">
        <v>0</v>
      </c>
      <c r="H5" s="209">
        <v>0</v>
      </c>
      <c r="I5" s="209">
        <v>0</v>
      </c>
      <c r="J5" s="209">
        <v>0</v>
      </c>
      <c r="K5" s="209">
        <v>0</v>
      </c>
      <c r="L5" s="209">
        <v>0</v>
      </c>
      <c r="M5" s="209">
        <v>0</v>
      </c>
      <c r="N5" s="209">
        <v>0</v>
      </c>
      <c r="O5" s="209">
        <v>0</v>
      </c>
      <c r="P5" s="209">
        <v>0</v>
      </c>
      <c r="Q5" s="209">
        <v>0</v>
      </c>
      <c r="R5" s="94">
        <f>SUM(C5:Q5)</f>
        <v>100</v>
      </c>
      <c r="T5" s="163">
        <v>0</v>
      </c>
      <c r="U5" s="163">
        <v>0</v>
      </c>
      <c r="V5" s="162">
        <v>0</v>
      </c>
      <c r="W5" s="163">
        <v>0</v>
      </c>
      <c r="Y5" s="8"/>
      <c r="Z5" s="245" t="s">
        <v>114</v>
      </c>
      <c r="AA5" s="33" t="s">
        <v>10</v>
      </c>
      <c r="AB5" s="34" t="s">
        <v>115</v>
      </c>
      <c r="DX5" s="10"/>
      <c r="DY5" s="10"/>
      <c r="DZ5" s="10"/>
      <c r="EA5" s="10"/>
      <c r="EB5" s="10"/>
      <c r="EC5" s="10"/>
      <c r="ED5" s="10"/>
      <c r="EE5" s="10"/>
      <c r="EF5" s="10"/>
      <c r="EG5" s="10"/>
      <c r="EH5" s="10"/>
      <c r="EI5" s="10"/>
      <c r="EJ5" s="10"/>
      <c r="EK5" s="10"/>
      <c r="EL5" s="10"/>
      <c r="EM5" s="10"/>
      <c r="EN5" s="10"/>
      <c r="EO5" s="10"/>
      <c r="EP5" s="10"/>
      <c r="EQ5" s="10"/>
      <c r="ER5" s="10"/>
      <c r="ES5" s="10"/>
      <c r="ET5" s="10"/>
    </row>
    <row r="6" spans="1:150" x14ac:dyDescent="0.25">
      <c r="A6" s="71" t="s">
        <v>90</v>
      </c>
      <c r="B6" s="14" t="s">
        <v>152</v>
      </c>
      <c r="C6" s="14" t="s">
        <v>471</v>
      </c>
      <c r="D6" s="14" t="s">
        <v>472</v>
      </c>
      <c r="E6" s="14" t="s">
        <v>356</v>
      </c>
      <c r="F6" s="14" t="s">
        <v>112</v>
      </c>
      <c r="G6" s="14" t="s">
        <v>473</v>
      </c>
      <c r="H6" s="14" t="s">
        <v>357</v>
      </c>
      <c r="I6" s="14" t="s">
        <v>119</v>
      </c>
      <c r="J6" s="14" t="s">
        <v>94</v>
      </c>
      <c r="K6" s="14" t="s">
        <v>137</v>
      </c>
      <c r="L6" s="14" t="s">
        <v>322</v>
      </c>
      <c r="M6" s="14" t="s">
        <v>203</v>
      </c>
      <c r="N6" s="14" t="s">
        <v>32</v>
      </c>
      <c r="O6" s="14" t="s">
        <v>19</v>
      </c>
      <c r="P6" s="10" t="s">
        <v>822</v>
      </c>
      <c r="Q6" s="14" t="s">
        <v>463</v>
      </c>
      <c r="R6" s="102"/>
      <c r="T6" s="10" t="s">
        <v>340</v>
      </c>
      <c r="U6" s="13" t="s">
        <v>186</v>
      </c>
      <c r="V6" s="94" t="s">
        <v>30</v>
      </c>
      <c r="W6" s="71" t="s">
        <v>227</v>
      </c>
      <c r="Z6" s="158" t="s">
        <v>116</v>
      </c>
      <c r="AA6" s="246"/>
      <c r="AB6" s="247"/>
      <c r="DX6" s="10"/>
      <c r="DY6" s="97"/>
      <c r="DZ6" s="10"/>
      <c r="EA6" s="10"/>
      <c r="EB6" s="10"/>
      <c r="EC6" s="10"/>
      <c r="ED6" s="10"/>
      <c r="EE6" s="10"/>
      <c r="EF6" s="10"/>
      <c r="EG6" s="10"/>
      <c r="EH6" s="10"/>
      <c r="EI6" s="10"/>
      <c r="EJ6" s="10"/>
      <c r="EK6" s="10"/>
      <c r="EL6" s="10"/>
      <c r="EM6" s="10"/>
      <c r="EN6" s="10"/>
      <c r="EO6" s="10"/>
      <c r="EP6" s="10"/>
      <c r="EQ6" s="10"/>
      <c r="ER6" s="10"/>
      <c r="ES6" s="10"/>
      <c r="ET6" s="10"/>
    </row>
    <row r="7" spans="1:150" x14ac:dyDescent="0.25">
      <c r="A7" s="8" t="s">
        <v>515</v>
      </c>
      <c r="B7" s="102"/>
      <c r="C7" s="209">
        <f>AgInputs!B2</f>
        <v>4.29</v>
      </c>
      <c r="D7" s="210">
        <f>AgInputs!B3</f>
        <v>7.82</v>
      </c>
      <c r="E7" s="210">
        <f>AgInputs!B4</f>
        <v>47.028571428571432</v>
      </c>
      <c r="F7" s="211">
        <f>AgInputs!B5/(1-AgInputs!B84)</f>
        <v>15.142857142857144</v>
      </c>
      <c r="G7" s="211">
        <f>AgInputs!B6</f>
        <v>4.0199999999999996</v>
      </c>
      <c r="H7" s="210">
        <f>AgInputs!B7/(1-AgInputs!B84)</f>
        <v>22.6</v>
      </c>
      <c r="I7" s="211">
        <f>AgInputs!B8</f>
        <v>11.2</v>
      </c>
      <c r="J7" s="210">
        <f>AgInputs!B9</f>
        <v>8.9600000000000009</v>
      </c>
      <c r="K7" s="211">
        <f>AgInputs!B10</f>
        <v>2.79</v>
      </c>
      <c r="L7" s="209">
        <f>AgInputs!B11</f>
        <v>2.68</v>
      </c>
      <c r="M7" s="211">
        <f>AgInputs!B12</f>
        <v>36.76</v>
      </c>
      <c r="N7" s="211">
        <f>AgInputs!B24</f>
        <v>24.626666666666669</v>
      </c>
      <c r="O7" s="211">
        <f>AgInputs!B36</f>
        <v>8.52</v>
      </c>
      <c r="P7" s="211">
        <f>AgInputs!B38</f>
        <v>10.769666666666668</v>
      </c>
      <c r="Q7" s="211">
        <f>AgInputs!B57</f>
        <v>11.80909090909091</v>
      </c>
      <c r="R7" s="102"/>
      <c r="S7" s="212"/>
      <c r="T7" s="102" t="s">
        <v>14</v>
      </c>
      <c r="U7" s="102" t="s">
        <v>14</v>
      </c>
      <c r="V7" s="102" t="s">
        <v>14</v>
      </c>
      <c r="W7" s="102" t="s">
        <v>14</v>
      </c>
      <c r="Z7" s="101" t="s">
        <v>358</v>
      </c>
      <c r="AA7" s="10"/>
      <c r="AB7" s="26"/>
      <c r="DX7" s="10"/>
      <c r="DY7" s="10"/>
      <c r="DZ7" s="10"/>
      <c r="EA7" s="10"/>
      <c r="EB7" s="10"/>
      <c r="EC7" s="10"/>
      <c r="ED7" s="10"/>
      <c r="EE7" s="10"/>
      <c r="EF7" s="10"/>
      <c r="EG7" s="10"/>
      <c r="EH7" s="10"/>
      <c r="EI7" s="10"/>
      <c r="EJ7" s="10"/>
      <c r="EK7" s="10"/>
      <c r="EL7" s="10"/>
      <c r="EM7" s="10"/>
      <c r="EN7" s="10"/>
      <c r="EO7" s="10"/>
      <c r="EP7" s="10"/>
      <c r="EQ7" s="10"/>
      <c r="ER7" s="10"/>
      <c r="ES7" s="10"/>
      <c r="ET7" s="10"/>
    </row>
    <row r="8" spans="1:150" x14ac:dyDescent="0.25">
      <c r="A8" s="8" t="s">
        <v>352</v>
      </c>
      <c r="B8" s="102"/>
      <c r="C8" s="214">
        <v>0.2</v>
      </c>
      <c r="D8" s="214">
        <v>0.2</v>
      </c>
      <c r="E8" s="277">
        <f>AgInputs!B84</f>
        <v>0.65</v>
      </c>
      <c r="F8" s="277">
        <f>AgInputs!B84</f>
        <v>0.65</v>
      </c>
      <c r="G8" s="213">
        <v>0.2</v>
      </c>
      <c r="H8" s="277">
        <f>AgInputs!B84</f>
        <v>0.65</v>
      </c>
      <c r="I8" s="214">
        <f>AgInputs!$B86</f>
        <v>0.3</v>
      </c>
      <c r="J8" s="277">
        <f>AgInputs!$B86</f>
        <v>0.3</v>
      </c>
      <c r="K8" s="214">
        <v>0.12</v>
      </c>
      <c r="L8" s="214">
        <v>0.13</v>
      </c>
      <c r="M8" s="214">
        <f>AgInputs!$B$88</f>
        <v>0.75</v>
      </c>
      <c r="N8" s="214">
        <f>AgInputs!$B$87</f>
        <v>0.3</v>
      </c>
      <c r="O8" s="214">
        <f>AgInputs!B85</f>
        <v>0.15</v>
      </c>
      <c r="P8" s="214">
        <f>AgInputs!B90</f>
        <v>0.55000000000000004</v>
      </c>
      <c r="Q8" s="214">
        <f>AgInputs!B91</f>
        <v>0.53</v>
      </c>
      <c r="R8" s="102"/>
      <c r="S8" s="214"/>
      <c r="T8" s="214"/>
      <c r="U8" s="14"/>
      <c r="V8" s="214"/>
      <c r="W8" s="214"/>
      <c r="Z8" s="19" t="s">
        <v>117</v>
      </c>
      <c r="AA8" s="9">
        <f>B23/R5</f>
        <v>16557.054343047621</v>
      </c>
      <c r="AB8" s="26" t="s">
        <v>532</v>
      </c>
      <c r="DX8" s="10"/>
      <c r="DY8" s="10"/>
      <c r="DZ8" s="10"/>
      <c r="EA8" s="10"/>
      <c r="EB8" s="10"/>
      <c r="EC8" s="10"/>
      <c r="ED8" s="10"/>
      <c r="EE8" s="10"/>
      <c r="EF8" s="10"/>
      <c r="EG8" s="10"/>
      <c r="EH8" s="10"/>
      <c r="EI8" s="10"/>
      <c r="EJ8" s="10"/>
      <c r="EK8" s="10"/>
      <c r="EL8" s="10"/>
      <c r="EM8" s="10"/>
      <c r="EN8" s="10"/>
      <c r="EO8" s="10"/>
      <c r="EP8" s="10"/>
      <c r="EQ8" s="10"/>
      <c r="ER8" s="10"/>
      <c r="ES8" s="10"/>
      <c r="ET8" s="10"/>
    </row>
    <row r="9" spans="1:150" x14ac:dyDescent="0.25">
      <c r="A9" s="8" t="s">
        <v>353</v>
      </c>
      <c r="B9" s="102"/>
      <c r="C9" s="214">
        <f>AgInputs!$B$81</f>
        <v>0.13500000000000001</v>
      </c>
      <c r="D9" s="326">
        <f>AgInputs!B77</f>
        <v>0.155</v>
      </c>
      <c r="E9" s="214">
        <v>0.65</v>
      </c>
      <c r="F9" s="278">
        <v>0.65</v>
      </c>
      <c r="G9" s="278">
        <f>AgInputs!$B$81</f>
        <v>0.13500000000000001</v>
      </c>
      <c r="H9" s="278">
        <v>0.65</v>
      </c>
      <c r="I9" s="214"/>
      <c r="J9" s="214"/>
      <c r="K9" s="327">
        <f>AgInputs!B80</f>
        <v>0.09</v>
      </c>
      <c r="L9" s="278">
        <f>AgInputs!B79</f>
        <v>0.13</v>
      </c>
      <c r="M9" s="278"/>
      <c r="N9" s="214"/>
      <c r="O9" s="278"/>
      <c r="P9" s="278"/>
      <c r="Q9" s="214"/>
      <c r="R9" s="102"/>
      <c r="S9" s="214"/>
      <c r="T9" s="150">
        <f>AgInputs!$B78</f>
        <v>0.3</v>
      </c>
      <c r="U9" s="150">
        <f>AgInputs!$B78</f>
        <v>0.3</v>
      </c>
      <c r="V9" s="150">
        <f>AgInputs!$B78</f>
        <v>0.3</v>
      </c>
      <c r="W9" s="151">
        <f>AgInputs!B89</f>
        <v>0.84</v>
      </c>
      <c r="Z9" s="19" t="s">
        <v>118</v>
      </c>
      <c r="AA9" s="9">
        <f>SUM(C25:W25)/R5</f>
        <v>113655.88</v>
      </c>
      <c r="AB9" s="26" t="s">
        <v>532</v>
      </c>
      <c r="DX9" s="10"/>
      <c r="DY9" s="10"/>
      <c r="DZ9" s="10"/>
      <c r="EA9" s="10"/>
      <c r="EB9" s="10"/>
      <c r="EC9" s="10"/>
      <c r="ED9" s="10"/>
      <c r="EE9" s="10"/>
      <c r="EF9" s="10"/>
      <c r="EG9" s="10"/>
      <c r="EH9" s="10"/>
      <c r="EI9" s="10"/>
      <c r="EJ9" s="10"/>
      <c r="EK9" s="10"/>
      <c r="EL9" s="10"/>
      <c r="EM9" s="10"/>
      <c r="EN9" s="10"/>
      <c r="EO9" s="10"/>
      <c r="EP9" s="10"/>
      <c r="EQ9" s="10"/>
      <c r="ER9" s="10"/>
      <c r="ES9" s="10"/>
      <c r="ET9" s="10"/>
    </row>
    <row r="10" spans="1:150" x14ac:dyDescent="0.25">
      <c r="A10" s="71" t="s">
        <v>511</v>
      </c>
      <c r="B10" s="57"/>
      <c r="C10" s="215">
        <f>AgInputs!B94</f>
        <v>67.2</v>
      </c>
      <c r="D10" s="215">
        <f>AgInputs!B98</f>
        <v>145.60000000000002</v>
      </c>
      <c r="E10" s="215">
        <f>AgInputs!B102</f>
        <v>168.00000000000003</v>
      </c>
      <c r="F10" s="215">
        <f>AgInputs!B106</f>
        <v>67.2</v>
      </c>
      <c r="G10" s="215">
        <f>AgInputs!B94</f>
        <v>67.2</v>
      </c>
      <c r="H10" s="215">
        <f>AgInputs!B106</f>
        <v>67.2</v>
      </c>
      <c r="I10" s="215">
        <f>AgInputs!B110</f>
        <v>0</v>
      </c>
      <c r="J10" s="215">
        <f>AgInputs!B114</f>
        <v>0</v>
      </c>
      <c r="K10" s="215">
        <f>AgInputs!B118</f>
        <v>128.80000000000001</v>
      </c>
      <c r="L10" s="215">
        <f>AgInputs!B122</f>
        <v>0</v>
      </c>
      <c r="M10" s="215">
        <f>AgInputs!B126</f>
        <v>128.80000000000001</v>
      </c>
      <c r="N10" s="215">
        <f>AgInputs!B130</f>
        <v>92.8</v>
      </c>
      <c r="O10" s="215">
        <f>AgInputs!B163</f>
        <v>84.000000000000014</v>
      </c>
      <c r="P10" s="215">
        <f>AgInputs!B167</f>
        <v>57.915733333333343</v>
      </c>
      <c r="Q10" s="215">
        <f>AgInputs!B194</f>
        <v>80.166666666666671</v>
      </c>
      <c r="R10" s="102"/>
      <c r="S10" s="216"/>
      <c r="T10" s="216">
        <v>0</v>
      </c>
      <c r="U10" s="216">
        <v>0</v>
      </c>
      <c r="V10" s="216">
        <v>0</v>
      </c>
      <c r="W10" s="216">
        <v>0</v>
      </c>
      <c r="X10" s="4"/>
      <c r="Z10" s="19" t="s">
        <v>359</v>
      </c>
      <c r="AA10" s="9">
        <f>AA9-AA8</f>
        <v>97098.82565695238</v>
      </c>
      <c r="AB10" s="26" t="s">
        <v>532</v>
      </c>
      <c r="DX10" s="10"/>
      <c r="DY10" s="10"/>
      <c r="DZ10" s="10"/>
      <c r="EA10" s="10"/>
      <c r="EB10" s="25"/>
      <c r="EC10" s="25"/>
      <c r="ED10" s="25"/>
      <c r="EE10" s="25"/>
      <c r="EF10" s="25"/>
      <c r="EG10" s="25"/>
      <c r="EH10" s="25"/>
      <c r="EI10" s="25"/>
      <c r="EJ10" s="25"/>
      <c r="EK10" s="25"/>
      <c r="EL10" s="25"/>
      <c r="EM10" s="25"/>
      <c r="EN10" s="25"/>
      <c r="EO10" s="25"/>
      <c r="EP10" s="25"/>
      <c r="EQ10" s="25"/>
      <c r="ER10" s="10"/>
      <c r="ES10" s="10"/>
      <c r="ET10" s="10"/>
    </row>
    <row r="11" spans="1:150" ht="15.75" thickBot="1" x14ac:dyDescent="0.3">
      <c r="A11" s="71" t="s">
        <v>512</v>
      </c>
      <c r="B11" s="57"/>
      <c r="C11" s="14">
        <f>AgInputs!B95</f>
        <v>56.000000000000007</v>
      </c>
      <c r="D11" s="215">
        <f>AgInputs!B99</f>
        <v>56.000000000000007</v>
      </c>
      <c r="E11" s="215">
        <f>AgInputs!B103</f>
        <v>123.20000000000002</v>
      </c>
      <c r="F11" s="215">
        <f>AgInputs!B107</f>
        <v>67.2</v>
      </c>
      <c r="G11" s="215">
        <f>AgInputs!B107</f>
        <v>67.2</v>
      </c>
      <c r="H11" s="215">
        <f>AgInputs!B107</f>
        <v>67.2</v>
      </c>
      <c r="I11" s="215">
        <f>AgInputs!B111</f>
        <v>89.600000000000009</v>
      </c>
      <c r="J11" s="215">
        <f>AgInputs!B115</f>
        <v>67.2</v>
      </c>
      <c r="K11" s="215">
        <f>AgInputs!B119</f>
        <v>42.56</v>
      </c>
      <c r="L11" s="215">
        <f>AgInputs!B123</f>
        <v>44.800000000000004</v>
      </c>
      <c r="M11" s="215">
        <f>AgInputs!B127</f>
        <v>22.400000000000002</v>
      </c>
      <c r="N11" s="215">
        <f>AgInputs!B141</f>
        <v>53.2</v>
      </c>
      <c r="O11" s="14">
        <f>AgInputs!B164</f>
        <v>67.2</v>
      </c>
      <c r="P11" s="215">
        <f>AgInputs!B176</f>
        <v>17.630933333333335</v>
      </c>
      <c r="Q11" s="215">
        <f>AgInputs!B206</f>
        <v>15.25</v>
      </c>
      <c r="R11" s="102"/>
      <c r="S11" s="216"/>
      <c r="T11" s="216">
        <v>0</v>
      </c>
      <c r="U11" s="216">
        <v>0</v>
      </c>
      <c r="V11" s="216">
        <v>0</v>
      </c>
      <c r="W11" s="216">
        <v>0</v>
      </c>
      <c r="Z11" s="27" t="s">
        <v>360</v>
      </c>
      <c r="AA11" s="51">
        <f>AA9/AA8</f>
        <v>6.8644988199682153</v>
      </c>
      <c r="AB11" s="28"/>
      <c r="DX11" s="10"/>
      <c r="DY11" s="10"/>
      <c r="DZ11" s="10"/>
      <c r="EA11" s="10"/>
      <c r="EB11" s="13"/>
      <c r="EC11" s="13"/>
      <c r="ED11" s="13"/>
      <c r="EE11" s="13"/>
      <c r="EF11" s="13"/>
      <c r="EG11" s="13"/>
      <c r="EH11" s="13"/>
      <c r="EI11" s="13"/>
      <c r="EJ11" s="13"/>
      <c r="EK11" s="13"/>
      <c r="EL11" s="13"/>
      <c r="EM11" s="13"/>
      <c r="EN11" s="13"/>
      <c r="EO11" s="13"/>
      <c r="EP11" s="13"/>
      <c r="EQ11" s="13"/>
      <c r="ER11" s="10"/>
      <c r="ES11" s="10"/>
      <c r="ET11" s="10"/>
    </row>
    <row r="12" spans="1:150" x14ac:dyDescent="0.25">
      <c r="A12" s="71" t="s">
        <v>513</v>
      </c>
      <c r="B12" s="57"/>
      <c r="C12" s="14">
        <f>AgInputs!B96</f>
        <v>134.4</v>
      </c>
      <c r="D12" s="215">
        <f>AgInputs!B100</f>
        <v>33.6</v>
      </c>
      <c r="E12" s="215">
        <f>AgInputs!B104</f>
        <v>257.60000000000002</v>
      </c>
      <c r="F12" s="215">
        <f>AgInputs!B108</f>
        <v>123.20000000000002</v>
      </c>
      <c r="G12" s="215">
        <f>AgInputs!B108</f>
        <v>123.20000000000002</v>
      </c>
      <c r="H12" s="215">
        <f>AgInputs!B108</f>
        <v>123.20000000000002</v>
      </c>
      <c r="I12" s="215">
        <f>AgInputs!B112</f>
        <v>280</v>
      </c>
      <c r="J12" s="215">
        <f>AgInputs!B116</f>
        <v>179.20000000000002</v>
      </c>
      <c r="K12" s="215">
        <f>AgInputs!B120</f>
        <v>42.56</v>
      </c>
      <c r="L12" s="215">
        <f>AgInputs!B124</f>
        <v>67.2</v>
      </c>
      <c r="M12" s="215">
        <f>AgInputs!B128</f>
        <v>22.400000000000002</v>
      </c>
      <c r="N12" s="215">
        <f>AgInputs!B152</f>
        <v>121.8</v>
      </c>
      <c r="O12" s="14">
        <f>AgInputs!B165</f>
        <v>67.2</v>
      </c>
      <c r="P12" s="215">
        <f>AgInputs!B185</f>
        <v>23.964266666666671</v>
      </c>
      <c r="Q12" s="215">
        <f>AgInputs!B216</f>
        <v>40.25</v>
      </c>
      <c r="R12" s="102"/>
      <c r="S12" s="216"/>
      <c r="T12" s="216">
        <v>0</v>
      </c>
      <c r="U12" s="216">
        <v>0</v>
      </c>
      <c r="V12" s="216">
        <v>0</v>
      </c>
      <c r="W12" s="216">
        <v>0</v>
      </c>
      <c r="Z12" s="157" t="s">
        <v>255</v>
      </c>
      <c r="AA12" s="96"/>
      <c r="AB12" s="83"/>
      <c r="DX12" s="10"/>
      <c r="DY12" s="10"/>
      <c r="DZ12" s="10"/>
      <c r="EA12" s="10"/>
      <c r="EB12" s="13"/>
      <c r="EC12" s="13"/>
      <c r="ED12" s="13"/>
      <c r="EE12" s="13"/>
      <c r="EF12" s="13"/>
      <c r="EG12" s="13"/>
      <c r="EH12" s="13"/>
      <c r="EI12" s="13"/>
      <c r="EJ12" s="13"/>
      <c r="EK12" s="13"/>
      <c r="EL12" s="13"/>
      <c r="EM12" s="13"/>
      <c r="EN12" s="13"/>
      <c r="EO12" s="13"/>
      <c r="EP12" s="13"/>
      <c r="EQ12" s="13"/>
      <c r="ER12" s="10"/>
      <c r="ES12" s="10"/>
      <c r="ET12" s="10"/>
    </row>
    <row r="13" spans="1:150" x14ac:dyDescent="0.25">
      <c r="A13" s="71" t="s">
        <v>514</v>
      </c>
      <c r="B13" s="57"/>
      <c r="C13" s="217">
        <f>AgInputs!B227</f>
        <v>643</v>
      </c>
      <c r="D13" s="217">
        <f>AgInputs!B227</f>
        <v>643</v>
      </c>
      <c r="E13" s="217">
        <f>AgInputs!B227</f>
        <v>643</v>
      </c>
      <c r="F13" s="217">
        <f>AgInputs!B227</f>
        <v>643</v>
      </c>
      <c r="G13" s="217">
        <f>AgInputs!B227</f>
        <v>643</v>
      </c>
      <c r="H13" s="217">
        <f>AgInputs!B227</f>
        <v>643</v>
      </c>
      <c r="I13" s="215">
        <f>AgInputs!B227</f>
        <v>643</v>
      </c>
      <c r="J13" s="217">
        <f>AgInputs!B227</f>
        <v>643</v>
      </c>
      <c r="K13" s="215">
        <f>AgInputs!B227</f>
        <v>643</v>
      </c>
      <c r="L13" s="217">
        <f>AgInputs!B227</f>
        <v>643</v>
      </c>
      <c r="M13" s="217">
        <f>AgInputs!B227</f>
        <v>643</v>
      </c>
      <c r="N13" s="215">
        <f>AgInputs!B227</f>
        <v>643</v>
      </c>
      <c r="O13" s="217">
        <f>AgInputs!B227</f>
        <v>643</v>
      </c>
      <c r="P13" s="217">
        <f>AgInputs!B227</f>
        <v>643</v>
      </c>
      <c r="Q13" s="215">
        <f>AgInputs!B227</f>
        <v>643</v>
      </c>
      <c r="R13" s="102"/>
      <c r="S13" s="216"/>
      <c r="T13" s="218">
        <v>0</v>
      </c>
      <c r="U13" s="218">
        <v>0</v>
      </c>
      <c r="V13" s="218">
        <v>0</v>
      </c>
      <c r="W13" s="218">
        <v>0</v>
      </c>
      <c r="Z13" s="40" t="s">
        <v>256</v>
      </c>
      <c r="AA13" s="152">
        <f>X86</f>
        <v>2536.8780890770572</v>
      </c>
      <c r="AB13" s="26" t="s">
        <v>525</v>
      </c>
      <c r="DX13" s="10"/>
      <c r="DY13" s="10"/>
      <c r="DZ13" s="10"/>
      <c r="EA13" s="13"/>
      <c r="EB13" s="13"/>
      <c r="EC13" s="13"/>
      <c r="ED13" s="13"/>
      <c r="EE13" s="13"/>
      <c r="EF13" s="13"/>
      <c r="EG13" s="13"/>
      <c r="EH13" s="25"/>
      <c r="EI13" s="25"/>
      <c r="EJ13" s="25"/>
      <c r="EK13" s="25"/>
      <c r="EL13" s="13"/>
      <c r="EM13" s="13"/>
      <c r="EN13" s="13"/>
      <c r="EO13" s="13"/>
      <c r="EP13" s="13"/>
      <c r="EQ13" s="13"/>
      <c r="ER13" s="10"/>
      <c r="ES13" s="10"/>
      <c r="ET13" s="10"/>
    </row>
    <row r="14" spans="1:150" x14ac:dyDescent="0.25">
      <c r="A14" s="71" t="s">
        <v>633</v>
      </c>
      <c r="B14" s="57"/>
      <c r="C14" s="14">
        <f>AgInputs!B230</f>
        <v>92.25</v>
      </c>
      <c r="D14" s="215">
        <f>AgInputs!B238</f>
        <v>21.018571428571427</v>
      </c>
      <c r="E14" s="215">
        <f>AgInputs!B238</f>
        <v>21.018571428571427</v>
      </c>
      <c r="F14" s="215">
        <f>AgInputs!B251</f>
        <v>93.100000000000009</v>
      </c>
      <c r="G14" s="215">
        <f>AgInputs!B261</f>
        <v>132.54285714285714</v>
      </c>
      <c r="H14" s="215">
        <f>AgInputs!B261</f>
        <v>132.54285714285714</v>
      </c>
      <c r="I14" s="215">
        <f>AgInputs!B274/3</f>
        <v>4.8533333333333335</v>
      </c>
      <c r="J14" s="215">
        <f>AgInputs!B282</f>
        <v>8.1960000000000015</v>
      </c>
      <c r="K14" s="215">
        <f>AgInputs!B293</f>
        <v>5.6000000000000005</v>
      </c>
      <c r="L14" s="215">
        <f>AgInputs!B295</f>
        <v>72.306666666666658</v>
      </c>
      <c r="M14" s="43">
        <f>AgInputs!B304</f>
        <v>5.3612000000000002</v>
      </c>
      <c r="N14" s="215">
        <f>AgInputs!B315</f>
        <v>50</v>
      </c>
      <c r="O14" s="223">
        <f>AgInputs!B317</f>
        <v>0.77533333333333332</v>
      </c>
      <c r="P14" s="215">
        <f>AgInputs!B328</f>
        <v>608.102766798419</v>
      </c>
      <c r="Q14" s="215">
        <f>AgInputs!B328</f>
        <v>608.102766798419</v>
      </c>
      <c r="R14" s="102"/>
      <c r="S14" s="216"/>
      <c r="T14" s="216">
        <v>0</v>
      </c>
      <c r="U14" s="216">
        <v>0</v>
      </c>
      <c r="V14" s="216">
        <v>0</v>
      </c>
      <c r="W14" s="216">
        <v>0</v>
      </c>
      <c r="Z14" s="40" t="s">
        <v>1257</v>
      </c>
      <c r="AA14" s="424">
        <f>AA13/AA9</f>
        <v>2.2320693738652652E-2</v>
      </c>
      <c r="AB14" s="26" t="s">
        <v>1258</v>
      </c>
      <c r="DX14" s="10"/>
      <c r="DY14" s="10"/>
      <c r="DZ14" s="10"/>
      <c r="EA14" s="13"/>
      <c r="EB14" s="149"/>
      <c r="EC14" s="149"/>
      <c r="ED14" s="149"/>
      <c r="EE14" s="149"/>
      <c r="EF14" s="149"/>
      <c r="EG14" s="149"/>
      <c r="EH14" s="149"/>
      <c r="EI14" s="149"/>
      <c r="EJ14" s="149"/>
      <c r="EK14" s="149"/>
      <c r="EL14" s="149"/>
      <c r="EM14" s="149"/>
      <c r="EN14" s="149"/>
      <c r="EO14" s="149"/>
      <c r="EP14" s="149"/>
      <c r="EQ14" s="149"/>
      <c r="ER14" s="10"/>
      <c r="ES14" s="10"/>
      <c r="ET14" s="10"/>
    </row>
    <row r="15" spans="1:150" ht="15.75" thickBot="1" x14ac:dyDescent="0.3">
      <c r="A15" s="71" t="s">
        <v>516</v>
      </c>
      <c r="B15" s="57"/>
      <c r="C15" s="43">
        <f>AgInputs!B339</f>
        <v>1.07</v>
      </c>
      <c r="D15" s="43">
        <f>AgInputs!B347</f>
        <v>3.2183333333333337</v>
      </c>
      <c r="E15" s="43">
        <f>AgInputs!B347</f>
        <v>3.2183333333333337</v>
      </c>
      <c r="F15" s="43">
        <f>AgInputs!B339</f>
        <v>1.07</v>
      </c>
      <c r="G15" s="43">
        <f>AgInputs!B339</f>
        <v>1.07</v>
      </c>
      <c r="H15" s="43">
        <f>AgInputs!B339</f>
        <v>1.07</v>
      </c>
      <c r="I15" s="43">
        <v>0</v>
      </c>
      <c r="J15" s="43">
        <v>0</v>
      </c>
      <c r="K15" s="43">
        <f>AgInputs!B362</f>
        <v>3.39</v>
      </c>
      <c r="L15" s="43">
        <f>AgInputs!B364</f>
        <v>2.0300000000000002</v>
      </c>
      <c r="M15" s="43">
        <f>AgInputs!B372</f>
        <v>1.6760000000000002</v>
      </c>
      <c r="N15" s="43">
        <f>AgInputs!B384+AgInputs!B385+AgInputs!B386</f>
        <v>0.72099999999999997</v>
      </c>
      <c r="O15" s="43">
        <f>AgInputs!B388</f>
        <v>0.42</v>
      </c>
      <c r="P15" s="43">
        <f>AgInputs!B390</f>
        <v>0.26920000000000005</v>
      </c>
      <c r="Q15" s="43">
        <f>AgInputs!B399</f>
        <v>0.43167500000000003</v>
      </c>
      <c r="R15" s="102"/>
      <c r="S15" s="212"/>
      <c r="T15" s="216">
        <v>0</v>
      </c>
      <c r="U15" s="216">
        <v>0</v>
      </c>
      <c r="V15" s="216">
        <v>0</v>
      </c>
      <c r="W15" s="216">
        <v>0</v>
      </c>
      <c r="Z15" s="21"/>
      <c r="AA15" s="154"/>
      <c r="AB15" s="28"/>
      <c r="DX15" s="10"/>
      <c r="DY15" s="10"/>
      <c r="DZ15" s="10"/>
      <c r="EA15" s="13"/>
      <c r="EB15" s="149"/>
      <c r="EC15" s="149"/>
      <c r="ED15" s="149"/>
      <c r="EE15" s="149"/>
      <c r="EF15" s="149"/>
      <c r="EG15" s="149"/>
      <c r="EH15" s="149"/>
      <c r="EI15" s="149"/>
      <c r="EJ15" s="149"/>
      <c r="EK15" s="149"/>
      <c r="EL15" s="149"/>
      <c r="EM15" s="149"/>
      <c r="EN15" s="149"/>
      <c r="EO15" s="149"/>
      <c r="EP15" s="149"/>
      <c r="EQ15" s="149"/>
      <c r="ER15" s="10"/>
      <c r="ES15" s="10"/>
      <c r="ET15" s="10"/>
    </row>
    <row r="16" spans="1:150" x14ac:dyDescent="0.25">
      <c r="A16" s="71" t="s">
        <v>517</v>
      </c>
      <c r="B16" s="57"/>
      <c r="C16" s="43">
        <f>AgInputs!B409</f>
        <v>0.46500000000000002</v>
      </c>
      <c r="D16" s="43">
        <f>AgInputs!B419</f>
        <v>0.9425</v>
      </c>
      <c r="E16" s="43">
        <f>AgInputs!B419</f>
        <v>0.9425</v>
      </c>
      <c r="F16" s="43">
        <f>AgInputs!B409</f>
        <v>0.46500000000000002</v>
      </c>
      <c r="G16" s="43">
        <f>AgInputs!B409</f>
        <v>0.46500000000000002</v>
      </c>
      <c r="H16" s="43">
        <f>AgInputs!B409</f>
        <v>0.46500000000000002</v>
      </c>
      <c r="I16" s="43">
        <v>0</v>
      </c>
      <c r="J16" s="43">
        <v>0</v>
      </c>
      <c r="K16" s="43">
        <v>0</v>
      </c>
      <c r="L16" s="43">
        <f>AgInputs!B433</f>
        <v>2.78</v>
      </c>
      <c r="M16" s="43">
        <f>AgInputs!B441</f>
        <v>0.15</v>
      </c>
      <c r="N16" s="43">
        <v>0</v>
      </c>
      <c r="O16" s="43">
        <f>AgInputs!B443</f>
        <v>0</v>
      </c>
      <c r="P16" s="14">
        <f>AgInputs!B445</f>
        <v>2.912E-2</v>
      </c>
      <c r="Q16" s="43">
        <v>0</v>
      </c>
      <c r="R16" s="102"/>
      <c r="S16" s="212"/>
      <c r="T16" s="216">
        <v>0</v>
      </c>
      <c r="U16" s="216">
        <v>0</v>
      </c>
      <c r="V16" s="216">
        <v>0</v>
      </c>
      <c r="W16" s="216">
        <v>0</v>
      </c>
      <c r="DX16" s="10"/>
      <c r="DY16" s="10"/>
      <c r="DZ16" s="10"/>
      <c r="EA16" s="13"/>
      <c r="EB16" s="149"/>
      <c r="EC16" s="149"/>
      <c r="ED16" s="149"/>
      <c r="EE16" s="149"/>
      <c r="EF16" s="149"/>
      <c r="EG16" s="149"/>
      <c r="EH16" s="149"/>
      <c r="EI16" s="149"/>
      <c r="EJ16" s="149"/>
      <c r="EK16" s="149"/>
      <c r="EL16" s="149"/>
      <c r="EM16" s="149"/>
      <c r="EN16" s="149"/>
      <c r="EO16" s="149"/>
      <c r="EP16" s="149"/>
      <c r="EQ16" s="149"/>
      <c r="ER16" s="10"/>
      <c r="ES16" s="10"/>
      <c r="ET16" s="10"/>
    </row>
    <row r="17" spans="1:150" x14ac:dyDescent="0.25">
      <c r="A17" s="71" t="s">
        <v>518</v>
      </c>
      <c r="B17" s="90">
        <f>C17*C5+D17*D5+E17*E5+F17*F5+G17*G5+H17*H5+I17*I5+J17*J5+K17*K5+L17*L5+M17*M5+N17*N5+O17*O5+P17*P5+Q17*Q5</f>
        <v>6863.2000000000007</v>
      </c>
      <c r="C17" s="219">
        <f>IF(D1=1,AgInputs!C449,IF(D1=2,AgInputs!C450,AgInputs!C451))+AgInputs!B842</f>
        <v>43.612000000000002</v>
      </c>
      <c r="D17" s="220">
        <f>IF(D1=1,AgInputs!C453,IF(D1=2,AgInputs!C454,AgInputs!C455))+AgInputs!B842</f>
        <v>68.632000000000005</v>
      </c>
      <c r="E17" s="220">
        <f>IF(D1=1,AgInputs!C457,IF(D1=2,AgInputs!C458,AgInputs!C459))+AgInputs!B842</f>
        <v>122.172</v>
      </c>
      <c r="F17" s="220">
        <f>IF(D1=1,AgInputs!C461,IF(D1=2,AgInputs!C462,AgInputs!C463))+AgInputs!B842</f>
        <v>90.971999999999994</v>
      </c>
      <c r="G17" s="220">
        <f>IF(D1=1,AgInputs!C449,IF(D1=2,AgInputs!C450,AgInputs!C451))+AgInputs!B842</f>
        <v>43.612000000000002</v>
      </c>
      <c r="H17" s="220">
        <f>IF(D1=1,AgInputs!C465,IF(D1=2,AgInputs!C466,AgInputs!C467))+AgInputs!B842</f>
        <v>90.971999999999994</v>
      </c>
      <c r="I17" s="219">
        <f>IF(D1=1,AgInputs!C469,IF(D1=2,AgInputs!C470,AgInputs!C471))</f>
        <v>98.3</v>
      </c>
      <c r="J17" s="220">
        <f>IF(D1=1,AgInputs!C473,IF(D1=2,AgInputs!C474,AgInputs!C475))+AgInputs!B842</f>
        <v>76.372</v>
      </c>
      <c r="K17" s="219">
        <f>AgInputs!B481</f>
        <v>85.399999999999991</v>
      </c>
      <c r="L17" s="220">
        <f>IF(D1=1,AgInputs!C477,IF(D1=2,AgInputs!C478,AgInputs!C479))+AgInputs!B842</f>
        <v>66.171999999999997</v>
      </c>
      <c r="M17" s="219">
        <f>AgInputs!B490</f>
        <v>144.14666666666668</v>
      </c>
      <c r="N17" s="221">
        <f>AgInputs!B502</f>
        <v>99.923333333333332</v>
      </c>
      <c r="O17" s="219">
        <f>AgInputs!B511+AgInputs!B842</f>
        <v>74.415333333333336</v>
      </c>
      <c r="P17" s="262">
        <f>AgInputs!B520</f>
        <v>63.031957500000004</v>
      </c>
      <c r="Q17" s="221">
        <f>AgInputs!B530</f>
        <v>43.966666666666669</v>
      </c>
      <c r="R17" s="102"/>
      <c r="S17" s="221"/>
      <c r="T17" s="220">
        <f>IF(T5=0,0,AgInputs!B843)</f>
        <v>0</v>
      </c>
      <c r="U17" s="14">
        <f>IF(U5=0,0,AgInputs!B843)</f>
        <v>0</v>
      </c>
      <c r="V17" s="220">
        <f>IF(V5=0,0,AgInputs!B843)</f>
        <v>0</v>
      </c>
      <c r="W17" s="220">
        <f>IF(W5=0,0,AgInputs!B843)</f>
        <v>0</v>
      </c>
      <c r="X17" s="13"/>
      <c r="DX17" s="10"/>
      <c r="DY17" s="10"/>
      <c r="DZ17" s="10"/>
      <c r="EA17" s="13"/>
      <c r="EB17" s="149"/>
      <c r="EC17" s="149"/>
      <c r="ED17" s="149"/>
      <c r="EE17" s="149"/>
      <c r="EF17" s="149"/>
      <c r="EG17" s="149"/>
      <c r="EH17" s="149"/>
      <c r="EI17" s="149"/>
      <c r="EJ17" s="149"/>
      <c r="EK17" s="149"/>
      <c r="EL17" s="149"/>
      <c r="EM17" s="149"/>
      <c r="EN17" s="149"/>
      <c r="EO17" s="149"/>
      <c r="EP17" s="149"/>
      <c r="EQ17" s="149"/>
      <c r="ER17" s="10"/>
      <c r="ES17" s="10"/>
      <c r="ET17" s="10"/>
    </row>
    <row r="18" spans="1:150" x14ac:dyDescent="0.25">
      <c r="A18" s="71" t="s">
        <v>519</v>
      </c>
      <c r="B18" s="57"/>
      <c r="C18" s="215">
        <f>C20*(C8-C9)*1000*Energy!$B$338</f>
        <v>0</v>
      </c>
      <c r="D18" s="215">
        <f>D20*(D8-D9)*1000*Energy!$B$338</f>
        <v>127622.40000000005</v>
      </c>
      <c r="E18" s="14">
        <v>0</v>
      </c>
      <c r="F18" s="14">
        <v>0</v>
      </c>
      <c r="G18" s="215">
        <f>G20*(G8-G9)*1000*Energy!$B$338</f>
        <v>0</v>
      </c>
      <c r="H18" s="14">
        <v>0</v>
      </c>
      <c r="I18" s="44">
        <v>0</v>
      </c>
      <c r="J18" s="14">
        <v>0</v>
      </c>
      <c r="K18" s="215">
        <f>K20*(K8-K9)*1000*Energy!$B$338</f>
        <v>0</v>
      </c>
      <c r="L18" s="215">
        <f>L20*(L8-L9)*1000*Energy!$B$338</f>
        <v>0</v>
      </c>
      <c r="M18" s="44">
        <v>0</v>
      </c>
      <c r="N18" s="44">
        <v>0</v>
      </c>
      <c r="O18" s="16">
        <v>0</v>
      </c>
      <c r="P18" s="14">
        <v>0</v>
      </c>
      <c r="Q18" s="44">
        <v>0</v>
      </c>
      <c r="R18" s="102"/>
      <c r="S18" s="44"/>
      <c r="T18" s="218">
        <v>0</v>
      </c>
      <c r="U18" s="216">
        <v>0</v>
      </c>
      <c r="V18" s="218">
        <v>0</v>
      </c>
      <c r="W18" s="218">
        <v>0</v>
      </c>
      <c r="X18" s="13"/>
      <c r="DX18" s="10"/>
      <c r="DY18" s="10"/>
      <c r="DZ18" s="10"/>
      <c r="EA18" s="13"/>
      <c r="EB18" s="149"/>
      <c r="EC18" s="149"/>
      <c r="ED18" s="149"/>
      <c r="EE18" s="149"/>
      <c r="EF18" s="149"/>
      <c r="EG18" s="149"/>
      <c r="EH18" s="149"/>
      <c r="EI18" s="149"/>
      <c r="EJ18" s="149"/>
      <c r="EK18" s="149"/>
      <c r="EL18" s="149"/>
      <c r="EM18" s="149"/>
      <c r="EN18" s="149"/>
      <c r="EO18" s="149"/>
      <c r="EP18" s="149"/>
      <c r="EQ18" s="149"/>
      <c r="ER18" s="10"/>
      <c r="ES18" s="10"/>
      <c r="ET18" s="10"/>
    </row>
    <row r="19" spans="1:150" x14ac:dyDescent="0.25">
      <c r="A19" s="71" t="s">
        <v>520</v>
      </c>
      <c r="B19" s="57"/>
      <c r="C19" s="222">
        <f>Energy!B353</f>
        <v>0.64</v>
      </c>
      <c r="D19" s="212">
        <f>Energy!B353</f>
        <v>0.64</v>
      </c>
      <c r="E19" s="212">
        <f>Energy!B353</f>
        <v>0.64</v>
      </c>
      <c r="F19" s="212">
        <f>Energy!B353</f>
        <v>0.64</v>
      </c>
      <c r="G19" s="212">
        <f>Energy!B353</f>
        <v>0.64</v>
      </c>
      <c r="H19" s="212">
        <f>Energy!B353</f>
        <v>0.64</v>
      </c>
      <c r="I19" s="212">
        <f>Energy!B353</f>
        <v>0.64</v>
      </c>
      <c r="J19" s="212">
        <f>Energy!B353</f>
        <v>0.64</v>
      </c>
      <c r="K19" s="212">
        <f>Energy!B353</f>
        <v>0.64</v>
      </c>
      <c r="L19" s="212">
        <f>Energy!B353</f>
        <v>0.64</v>
      </c>
      <c r="M19" s="222">
        <f>Energy!B353</f>
        <v>0.64</v>
      </c>
      <c r="N19" s="222">
        <f>Energy!B353</f>
        <v>0.64</v>
      </c>
      <c r="O19" s="212">
        <f>Energy!B353</f>
        <v>0.64</v>
      </c>
      <c r="P19" s="14">
        <f>Energy!B353</f>
        <v>0.64</v>
      </c>
      <c r="Q19" s="222">
        <f>Energy!B353</f>
        <v>0.64</v>
      </c>
      <c r="R19" s="102"/>
      <c r="S19" s="222"/>
      <c r="T19" s="216">
        <v>0</v>
      </c>
      <c r="U19" s="215">
        <v>0</v>
      </c>
      <c r="V19" s="216">
        <v>0</v>
      </c>
      <c r="W19" s="216">
        <v>0</v>
      </c>
      <c r="X19" s="13"/>
      <c r="DX19" s="10"/>
      <c r="DY19" s="10"/>
      <c r="DZ19" s="10"/>
      <c r="EA19" s="13"/>
      <c r="EB19" s="149"/>
      <c r="EC19" s="149"/>
      <c r="ED19" s="149"/>
      <c r="EE19" s="149"/>
      <c r="EF19" s="149"/>
      <c r="EG19" s="149"/>
      <c r="EH19" s="149"/>
      <c r="EI19" s="149"/>
      <c r="EJ19" s="149"/>
      <c r="EK19" s="149"/>
      <c r="EL19" s="149"/>
      <c r="EM19" s="149"/>
      <c r="EN19" s="149"/>
      <c r="EO19" s="149"/>
      <c r="EP19" s="149"/>
      <c r="EQ19" s="149"/>
      <c r="ER19" s="10"/>
      <c r="ES19" s="10"/>
      <c r="ET19" s="10"/>
    </row>
    <row r="20" spans="1:150" x14ac:dyDescent="0.25">
      <c r="A20" s="71" t="s">
        <v>521</v>
      </c>
      <c r="B20" s="57"/>
      <c r="C20" s="216">
        <f t="shared" ref="C20:H20" si="0">C7*C5</f>
        <v>0</v>
      </c>
      <c r="D20" s="216">
        <f t="shared" si="0"/>
        <v>782</v>
      </c>
      <c r="E20" s="216">
        <f t="shared" si="0"/>
        <v>0</v>
      </c>
      <c r="F20" s="216">
        <f t="shared" si="0"/>
        <v>0</v>
      </c>
      <c r="G20" s="216">
        <f t="shared" si="0"/>
        <v>0</v>
      </c>
      <c r="H20" s="216">
        <f t="shared" si="0"/>
        <v>0</v>
      </c>
      <c r="I20" s="216">
        <f>I21/(1-I8)</f>
        <v>0</v>
      </c>
      <c r="J20" s="216">
        <f>J21/(1-J8)</f>
        <v>0</v>
      </c>
      <c r="K20" s="220">
        <f>K7*K5</f>
        <v>0</v>
      </c>
      <c r="L20" s="220">
        <f>L7*L5</f>
        <v>0</v>
      </c>
      <c r="M20" s="216">
        <f>M7*M5</f>
        <v>0</v>
      </c>
      <c r="N20" s="216">
        <f>N21/(1-N8)</f>
        <v>0</v>
      </c>
      <c r="O20" s="216">
        <f>O21/(1-O8)</f>
        <v>0</v>
      </c>
      <c r="P20" s="216">
        <f>P21/(1-P8)</f>
        <v>0</v>
      </c>
      <c r="Q20" s="216">
        <f>Q21/(1-Q8)</f>
        <v>0</v>
      </c>
      <c r="R20" s="102"/>
      <c r="S20" s="216"/>
      <c r="T20" s="220">
        <f>C20*T5*T8*AgInputs!B854</f>
        <v>0</v>
      </c>
      <c r="U20" s="223">
        <f>G20*U5*U8*AgInputs!B854</f>
        <v>0</v>
      </c>
      <c r="V20" s="216">
        <f>D20*V5*V8*AgInputs!B853</f>
        <v>0</v>
      </c>
      <c r="W20" s="220">
        <f>M20*W5*W8*AgInputs!B855</f>
        <v>0</v>
      </c>
      <c r="X20" s="77"/>
      <c r="DX20" s="10"/>
      <c r="DY20" s="10"/>
      <c r="DZ20" s="10"/>
      <c r="EA20" s="13"/>
      <c r="EB20" s="149"/>
      <c r="EC20" s="149"/>
      <c r="ED20" s="149"/>
      <c r="EE20" s="149"/>
      <c r="EF20" s="149"/>
      <c r="EG20" s="149"/>
      <c r="EH20" s="149"/>
      <c r="EI20" s="149"/>
      <c r="EJ20" s="149"/>
      <c r="EK20" s="149"/>
      <c r="EL20" s="149"/>
      <c r="EM20" s="149"/>
      <c r="EN20" s="149"/>
      <c r="EO20" s="149"/>
      <c r="EP20" s="149"/>
      <c r="EQ20" s="149"/>
      <c r="ER20" s="10"/>
      <c r="ES20" s="10"/>
      <c r="ET20" s="10"/>
    </row>
    <row r="21" spans="1:150" x14ac:dyDescent="0.25">
      <c r="A21" s="71" t="s">
        <v>522</v>
      </c>
      <c r="B21" s="57"/>
      <c r="C21" s="262">
        <f t="shared" ref="C21:H21" si="1">C20*(1-C9)</f>
        <v>0</v>
      </c>
      <c r="D21" s="220">
        <f t="shared" si="1"/>
        <v>660.79</v>
      </c>
      <c r="E21" s="220">
        <f t="shared" si="1"/>
        <v>0</v>
      </c>
      <c r="F21" s="220">
        <f t="shared" si="1"/>
        <v>0</v>
      </c>
      <c r="G21" s="220">
        <f t="shared" si="1"/>
        <v>0</v>
      </c>
      <c r="H21" s="220">
        <f t="shared" si="1"/>
        <v>0</v>
      </c>
      <c r="I21" s="219">
        <f>I7*I5</f>
        <v>0</v>
      </c>
      <c r="J21" s="220">
        <f>J7*J5</f>
        <v>0</v>
      </c>
      <c r="K21" s="220">
        <f>K20*(1-K9)</f>
        <v>0</v>
      </c>
      <c r="L21" s="220">
        <f>L20*(1-L9)</f>
        <v>0</v>
      </c>
      <c r="M21" s="220">
        <f>M20*(1-M8)</f>
        <v>0</v>
      </c>
      <c r="N21" s="223">
        <f>N7*N5</f>
        <v>0</v>
      </c>
      <c r="O21" s="220">
        <f>O7*O5</f>
        <v>0</v>
      </c>
      <c r="P21" s="220">
        <f>P7*P5</f>
        <v>0</v>
      </c>
      <c r="Q21" s="223">
        <f>Q7*Q5</f>
        <v>0</v>
      </c>
      <c r="R21" s="102"/>
      <c r="S21" s="220"/>
      <c r="T21" s="220">
        <f>T20*(1-T9)</f>
        <v>0</v>
      </c>
      <c r="U21" s="223">
        <f>U20*(1-U9)</f>
        <v>0</v>
      </c>
      <c r="V21" s="216">
        <f>V20*(1-V9)</f>
        <v>0</v>
      </c>
      <c r="W21" s="216">
        <f>W20*(1-W9)</f>
        <v>0</v>
      </c>
      <c r="X21" s="13"/>
      <c r="AM21" s="6"/>
      <c r="AN21" s="6"/>
      <c r="AO21" s="6"/>
      <c r="AP21" s="6"/>
      <c r="AQ21" s="6"/>
      <c r="DX21" s="10"/>
      <c r="DY21" s="10"/>
      <c r="DZ21" s="10"/>
      <c r="EA21" s="13"/>
      <c r="EB21" s="149"/>
      <c r="EC21" s="149"/>
      <c r="ED21" s="149"/>
      <c r="EE21" s="149"/>
      <c r="EF21" s="149"/>
      <c r="EG21" s="149"/>
      <c r="EH21" s="149"/>
      <c r="EI21" s="149"/>
      <c r="EJ21" s="149"/>
      <c r="EK21" s="149"/>
      <c r="EL21" s="149"/>
      <c r="EM21" s="149"/>
      <c r="EN21" s="149"/>
      <c r="EO21" s="149"/>
      <c r="EP21" s="149"/>
      <c r="EQ21" s="149"/>
      <c r="ER21" s="10"/>
      <c r="ES21" s="10"/>
      <c r="ET21" s="10"/>
    </row>
    <row r="22" spans="1:150" x14ac:dyDescent="0.25">
      <c r="A22" s="71" t="s">
        <v>523</v>
      </c>
      <c r="B22" s="57"/>
      <c r="C22" s="217">
        <f>(C5*C10*Energy!$B$3)+(C11*C5*Energy!$B$91)+(C12*C5*Energy!$B$128)+(C13*C5*Energy!$B$159)+(C14*C5*Energy!B192)+(C15*C5*Energy!$B$278)+(C16*C5*Energy!$B309)+(C18)+(C19*C5*(C10+C11+C12+C13+C14+C15+C16))+(C17*C5*Energy!$B334)</f>
        <v>0</v>
      </c>
      <c r="D22" s="217">
        <f>(D5*D10*Energy!$B$3)+(D11*D5*Energy!$B$91)+(D12*D5*Energy!$B$128)+(D13*D5*Energy!$B$159)+(D14*D5*Energy!B169)+(D15*D5*Energy!$B264)+(D16*D5*Energy!$B309)+D18+(D19*D5*(D10+D11+D12+D13+D14+D15+D16))+(D17*D5*Energy!$B334)</f>
        <v>1655705.4343047622</v>
      </c>
      <c r="E22" s="217">
        <f>(E5*E10*Energy!$B$3)+(E11*E5*Energy!$B$91)+(E12*E5*Energy!$B$128)+(E13*E5*Energy!$B$159)+(E14*E5*Energy!B169)+(E15*E5*Energy!$B264)+(E16*E5*Energy!$B309)+(E19*E5*(E10+E11+E12+E13+E14+E15+E16))+(E17*E5*Energy!$B334)</f>
        <v>0</v>
      </c>
      <c r="F22" s="217">
        <f>(F5*F10*Energy!$B$3)+(F11*F5*Energy!$B$91)+(F12*F5*Energy!$B$128)+(F13*F5*Energy!$B$159)+(F14*F5*Energy!B179)+(F15*F5*Energy!$B264)+(F16*F5*Energy!$B309)+(F19*F5*(F10+F11+F12+F13+F14+F15+F16))+(F17*F5*Energy!$B334)</f>
        <v>0</v>
      </c>
      <c r="G22" s="217">
        <f>(G5*G10*Energy!$B$3)+(G11*G5*Energy!$B$91)+(G12*G5*Energy!$B$128)+(G13*G5*Energy!$B$159)+(G14*G5*Energy!B192)+(G15*G5*Energy!$B$278)+(G16*G5*Energy!$B309)+(G18)+(G19*G5*(G10+G11+G12+G13+G14+G15+G16))+(G17*G5*Energy!$B334)</f>
        <v>0</v>
      </c>
      <c r="H22" s="217">
        <f>(H5*H10*Energy!$B$3)+(H11*H5*Energy!$B$91)+(H12*H5*Energy!$B$128)+(H13*H5*Energy!$B$159)+(H14*H5*Energy!B179)+(H15*H5*Energy!$B264)+(H16*H5*Energy!$B309)+(H19*H5*(H10+H11+H12+H13+H14+H15+H16))+(H17*H5*Energy!$B334)</f>
        <v>0</v>
      </c>
      <c r="I22" s="217">
        <f>(I5*I10*Energy!$B$3)+(I11*I5*Energy!$B$91)+(I12*I5*Energy!$B$128)+(I13*I5*Energy!$B$159)+(I14*I5*Energy!B221)+(I15*I5*Energy!$B264)+(I16*I5*Energy!$B309)+(I19*I5*(I10+I11+I12+I13+I14+I15+I16))+(I17*I5*Energy!$B334)</f>
        <v>0</v>
      </c>
      <c r="J22" s="217">
        <f>(J5*J10*Energy!$B$3)+(J11*J5*Energy!$B$91)+(J12*J5*Energy!$B$128)+(J13*J5*Energy!$B$159)+(J14*J5*Energy!B233)+(J15*J5*Energy!$B264)+(J16*J5*Energy!$B309)+(J19*J5*(J10+J11+J12+J13+J14+J15+J16))+(J17*J5*Energy!$B334)</f>
        <v>0</v>
      </c>
      <c r="K22" s="217">
        <f>(K5*K10*Energy!$B$3)+(K11*K5*Energy!$B$91)+(K12*K5*Energy!$B$128)+(K13*K5*Energy!$B$159)+(K14*K5*Energy!B202)+(K15*K5*Energy!$B$278)+(K16*K5*Energy!$B309)+(K18)+(K19*K5*(K10+K11+K12+K13+K14+K15+K16))+(K17*K5*Energy!$B334)</f>
        <v>0</v>
      </c>
      <c r="L22" s="217">
        <f>(L5*L10*Energy!$B$3)+(L11*L5*Energy!$B$91)+(L12*L5*Energy!$B$128)+(L13*L5*Energy!$B$159)+(L14*L5*Energy!B212)+(L15*L5*Energy!$B$264)+(L16*L5*Energy!B309)+L18+(L19*L5*(L10+L11+L12+L13+L14+L15+L16))+(L17*L5*Energy!B334)</f>
        <v>0</v>
      </c>
      <c r="M22" s="217">
        <f>(M5*M10*Energy!$B$3)+(M11*M5*Energy!$B$91)+(M12*M5*Energy!$B$128)+(M13*M5*Energy!$B$159)+(M14*M5*Energy!B250)+(M15*M5*Energy!$B$278)+(M16*M5*Energy!$B309)+(M19*M5*(M10+M11+M12+M13+M14+M15+M16))+(M17*M5*Energy!$B334)</f>
        <v>0</v>
      </c>
      <c r="N22" s="217">
        <f>(N5*N10*Energy!$B$3)+(N11*N5*Energy!$B$91)+(N12*N5*Energy!$B$128)+(N13*N5*Energy!$B$159)+(N14*N5*Energy!B242)+(N5*(AgInputs!B384*Energy!B281+AgInputs!B385*Energy!B282+AgInputs!B386*Energy!B278))+(N16*N5*Energy!$B309+(N19*N5*(N10+N11+N12+N13+N14+N15+N16)))+(N17*N5*Energy!$B334)</f>
        <v>0</v>
      </c>
      <c r="O22" s="217">
        <f>(O5*O10*Energy!$B$3)+(O11*O5*Energy!$B$91)+(O12*O5*Energy!$B$128)+(O13*O5*Energy!$B$159)+(O14*O5*Energy!B223)+(O15*O5*Energy!$B264)+(O16*O5*Energy!$B309)+(O19*O5*(O10+O11+O12+O13+O14+O15+O16))+(O17*O5*Energy!$B334)</f>
        <v>0</v>
      </c>
      <c r="P22" s="217">
        <f>(P5*P10*Energy!$B$3)+(P11*P5*Energy!$B$91)+(P12*P5*Energy!$B$128)+(P13*P5*Energy!$B$159)+((AgInputs!B328*Energy!B261)*P5)+(P15*P5*Energy!$B$278)+(P16*P5*Energy!$B309)+(P18)+(P19*P5*(P10+P11+P12+P13+P15+P16))+(P17*P5*Energy!$B334)</f>
        <v>0</v>
      </c>
      <c r="Q22" s="217">
        <f>(Q5*Q10*Energy!$B$3)+(Q11*Q5*Energy!$B$91)+(Q12*Q5*Energy!$B$128)+(Q13*Q5*Energy!$B$159)+((AgInputs!B328*Energy!B261)*Q5)+(Q15*Q5*Energy!B264)+(Q16*Q5*Energy!$B309)+(Q18)+(Q19*Q5*(Q10+Q11+Q12+Q13+Q15+Q16))+(Q17*Q5*Energy!$B334)</f>
        <v>0</v>
      </c>
      <c r="R22" s="102"/>
      <c r="S22" s="218"/>
      <c r="T22" s="217">
        <f>IF(T5=0,0,(T17*C5*Energy!$B334))</f>
        <v>0</v>
      </c>
      <c r="U22" s="215">
        <f>IF(U5=0,0,(U17*G5*Energy!$B334))</f>
        <v>0</v>
      </c>
      <c r="V22" s="217">
        <f>IF(V5=0,0,(V17*D5*Energy!$B334))</f>
        <v>0</v>
      </c>
      <c r="W22" s="217">
        <f>IF(W5=0,0,(W17*M5*Energy!$B334))</f>
        <v>0</v>
      </c>
      <c r="X22" s="6"/>
      <c r="DX22" s="10"/>
      <c r="DY22" s="10"/>
      <c r="DZ22" s="10"/>
      <c r="EA22" s="13"/>
      <c r="EB22" s="149"/>
      <c r="EC22" s="149"/>
      <c r="ED22" s="149"/>
      <c r="EE22" s="149"/>
      <c r="EF22" s="149"/>
      <c r="EG22" s="149"/>
      <c r="EH22" s="149"/>
      <c r="EI22" s="149"/>
      <c r="EJ22" s="149"/>
      <c r="EK22" s="149"/>
      <c r="EL22" s="149"/>
      <c r="EM22" s="149"/>
      <c r="EN22" s="149"/>
      <c r="EO22" s="149"/>
      <c r="EP22" s="149"/>
      <c r="EQ22" s="149"/>
      <c r="ER22" s="10"/>
      <c r="ES22" s="10"/>
      <c r="ET22" s="10"/>
    </row>
    <row r="23" spans="1:150" x14ac:dyDescent="0.25">
      <c r="A23" s="1" t="s">
        <v>539</v>
      </c>
      <c r="B23" s="6">
        <f>SUM(C22:Q22)</f>
        <v>1655705.4343047622</v>
      </c>
      <c r="C23" s="14"/>
      <c r="D23" s="217"/>
      <c r="E23" s="217"/>
      <c r="F23" s="217"/>
      <c r="G23" s="217"/>
      <c r="H23" s="217"/>
      <c r="I23" s="14"/>
      <c r="J23" s="217"/>
      <c r="K23" s="14"/>
      <c r="L23" s="217"/>
      <c r="M23" s="14"/>
      <c r="N23" s="14"/>
      <c r="O23" s="217"/>
      <c r="P23" s="14"/>
      <c r="Q23" s="14"/>
      <c r="R23" s="102"/>
      <c r="S23" s="94"/>
      <c r="T23" s="14"/>
      <c r="U23" s="14"/>
      <c r="V23" s="217"/>
      <c r="W23" s="14"/>
      <c r="DX23" s="10"/>
      <c r="DY23" s="10"/>
      <c r="DZ23" s="10"/>
      <c r="EA23" s="13"/>
      <c r="EB23" s="149"/>
      <c r="EC23" s="149"/>
      <c r="ED23" s="149"/>
      <c r="EE23" s="149"/>
      <c r="EF23" s="149"/>
      <c r="EG23" s="149"/>
      <c r="EH23" s="149"/>
      <c r="EI23" s="149"/>
      <c r="EJ23" s="149"/>
      <c r="EK23" s="149"/>
      <c r="EL23" s="149"/>
      <c r="EM23" s="149"/>
      <c r="EN23" s="149"/>
      <c r="EO23" s="149"/>
      <c r="EP23" s="149"/>
      <c r="EQ23" s="149"/>
      <c r="ER23" s="10"/>
      <c r="ES23" s="10"/>
      <c r="ET23" s="10"/>
    </row>
    <row r="24" spans="1:150" ht="17.25" x14ac:dyDescent="0.3">
      <c r="A24" s="161" t="s">
        <v>350</v>
      </c>
      <c r="B24" s="52"/>
      <c r="C24" s="224"/>
      <c r="D24" s="224"/>
      <c r="E24" s="224"/>
      <c r="F24" s="224"/>
      <c r="G24" s="224"/>
      <c r="H24" s="224"/>
      <c r="I24" s="224"/>
      <c r="J24" s="224"/>
      <c r="K24" s="224"/>
      <c r="L24" s="224"/>
      <c r="M24" s="224"/>
      <c r="N24" s="224"/>
      <c r="O24" s="224"/>
      <c r="P24" s="224"/>
      <c r="Q24" s="224"/>
      <c r="R24" s="224"/>
      <c r="S24" s="224"/>
      <c r="T24" s="224"/>
      <c r="U24" s="224"/>
      <c r="V24" s="224"/>
      <c r="W24" s="224"/>
      <c r="DX24" s="10"/>
      <c r="DY24" s="10"/>
      <c r="DZ24" s="10"/>
      <c r="EA24" s="10"/>
      <c r="EB24" s="10"/>
      <c r="EC24" s="10"/>
      <c r="ED24" s="10"/>
      <c r="EE24" s="10"/>
      <c r="EF24" s="10"/>
      <c r="EG24" s="10"/>
      <c r="EH24" s="10"/>
      <c r="EI24" s="10"/>
      <c r="EJ24" s="10"/>
      <c r="EK24" s="10"/>
      <c r="EL24" s="10"/>
      <c r="EM24" s="10"/>
      <c r="EN24" s="10"/>
      <c r="EO24" s="10"/>
      <c r="EP24" s="10"/>
      <c r="EQ24" s="10"/>
      <c r="ER24" s="10"/>
      <c r="ES24" s="10"/>
      <c r="ET24" s="10"/>
    </row>
    <row r="25" spans="1:150" x14ac:dyDescent="0.25">
      <c r="A25" s="81" t="s">
        <v>540</v>
      </c>
      <c r="B25" s="112"/>
      <c r="C25" s="218">
        <f>Energy!B358*C21*1000</f>
        <v>0</v>
      </c>
      <c r="D25" s="218">
        <f>Energy!B359*D21*1000</f>
        <v>11365588</v>
      </c>
      <c r="E25" s="218">
        <f>Energy!B360*E21*1000</f>
        <v>0</v>
      </c>
      <c r="F25" s="218">
        <f>Energy!B361*F21*1000</f>
        <v>0</v>
      </c>
      <c r="G25" s="218">
        <f>Energy!B362*G21*1000</f>
        <v>0</v>
      </c>
      <c r="H25" s="218">
        <f>Energy!B363*H21*1000</f>
        <v>0</v>
      </c>
      <c r="I25" s="218">
        <f>Energy!B364*I21*1000</f>
        <v>0</v>
      </c>
      <c r="J25" s="218">
        <f>Energy!B365*J21*1000</f>
        <v>0</v>
      </c>
      <c r="K25" s="218">
        <f>K21*Energy!B366*1000</f>
        <v>0</v>
      </c>
      <c r="L25" s="218">
        <f>Energy!B367*L21*1000</f>
        <v>0</v>
      </c>
      <c r="M25" s="218">
        <f>M21*Energy!B368*1000</f>
        <v>0</v>
      </c>
      <c r="N25" s="218">
        <f>Energy!B369*N21*1000</f>
        <v>0</v>
      </c>
      <c r="O25" s="218">
        <f>Energy!B370*O21*1000</f>
        <v>0</v>
      </c>
      <c r="P25" s="218">
        <f>Energy!B371*P21*1000</f>
        <v>0</v>
      </c>
      <c r="Q25" s="218">
        <f>Energy!B372*Q21*1000</f>
        <v>0</v>
      </c>
      <c r="R25" s="218"/>
      <c r="S25" s="218"/>
      <c r="T25" s="218">
        <f>Energy!B374*T21*1000</f>
        <v>0</v>
      </c>
      <c r="U25" s="14">
        <f>Energy!B374*U21*1000</f>
        <v>0</v>
      </c>
      <c r="V25" s="218">
        <f>Energy!B373*V21*1000</f>
        <v>0</v>
      </c>
      <c r="W25" s="218">
        <f>Energy!B374*W21*1000</f>
        <v>0</v>
      </c>
      <c r="DX25" s="10"/>
      <c r="DY25" s="10"/>
      <c r="DZ25" s="10"/>
      <c r="EA25" s="10"/>
      <c r="EB25" s="10"/>
      <c r="EC25" s="10"/>
      <c r="ED25" s="10"/>
      <c r="EE25" s="10"/>
      <c r="EF25" s="10"/>
      <c r="EG25" s="10"/>
      <c r="EH25" s="10"/>
      <c r="EI25" s="10"/>
      <c r="EJ25" s="10"/>
      <c r="EK25" s="10"/>
      <c r="EL25" s="10"/>
      <c r="EM25" s="10"/>
      <c r="EN25" s="10"/>
      <c r="EO25" s="10"/>
      <c r="EP25" s="10"/>
      <c r="EQ25" s="10"/>
      <c r="ER25" s="10"/>
      <c r="ES25" s="10"/>
      <c r="ET25" s="10"/>
    </row>
    <row r="26" spans="1:150" x14ac:dyDescent="0.25">
      <c r="C26" s="14"/>
      <c r="D26" s="14"/>
      <c r="E26" s="14"/>
      <c r="F26" s="14"/>
      <c r="G26" s="14"/>
      <c r="H26" s="14"/>
      <c r="I26" s="14"/>
      <c r="J26" s="14"/>
      <c r="K26" s="14"/>
      <c r="L26" s="14"/>
      <c r="M26" s="14"/>
      <c r="N26" s="14"/>
      <c r="O26" s="14"/>
      <c r="P26" s="14"/>
      <c r="Q26" s="14"/>
      <c r="R26" s="14"/>
      <c r="S26" s="94"/>
      <c r="T26" s="94"/>
      <c r="U26" s="14"/>
      <c r="V26" s="14"/>
      <c r="W26" s="14"/>
    </row>
    <row r="27" spans="1:150" s="8" customFormat="1" ht="15.75" thickBot="1" x14ac:dyDescent="0.3">
      <c r="A27" s="52"/>
      <c r="B27" s="52"/>
      <c r="C27" s="224"/>
      <c r="D27" s="224"/>
      <c r="E27" s="224"/>
      <c r="F27" s="224"/>
      <c r="G27" s="224"/>
      <c r="H27" s="224"/>
      <c r="I27" s="224"/>
      <c r="J27" s="224"/>
      <c r="K27" s="224"/>
      <c r="L27" s="224"/>
      <c r="M27" s="224"/>
      <c r="N27" s="224"/>
      <c r="O27" s="224"/>
      <c r="P27" s="224"/>
      <c r="Q27" s="224"/>
      <c r="R27" s="224"/>
      <c r="S27" s="224"/>
      <c r="T27" s="224"/>
      <c r="U27" s="224"/>
      <c r="V27" s="224"/>
      <c r="W27" s="224"/>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row>
    <row r="28" spans="1:150" ht="24" thickBot="1" x14ac:dyDescent="0.4">
      <c r="A28" s="159" t="s">
        <v>361</v>
      </c>
      <c r="C28" s="14"/>
      <c r="D28" s="14"/>
      <c r="E28" s="14"/>
      <c r="F28" s="14"/>
      <c r="G28" s="14"/>
      <c r="H28" s="14"/>
      <c r="I28" s="14"/>
      <c r="J28" s="14"/>
      <c r="K28" s="14"/>
      <c r="L28" s="14"/>
      <c r="M28" s="14"/>
      <c r="N28" s="14"/>
      <c r="O28" s="14"/>
      <c r="P28" s="14"/>
      <c r="Q28" s="14"/>
      <c r="R28" s="14"/>
      <c r="S28" s="94"/>
      <c r="T28" s="94"/>
      <c r="U28" s="14"/>
      <c r="V28" s="14"/>
      <c r="W28" s="14"/>
      <c r="Z28" s="32" t="s">
        <v>106</v>
      </c>
      <c r="AA28" s="29"/>
      <c r="AB28" s="29"/>
      <c r="AC28" s="29"/>
      <c r="AD28" s="30"/>
      <c r="AW28" s="103" t="s">
        <v>526</v>
      </c>
    </row>
    <row r="29" spans="1:150" ht="15.75" thickBot="1" x14ac:dyDescent="0.3">
      <c r="A29" s="206" t="s">
        <v>524</v>
      </c>
      <c r="C29" s="14"/>
      <c r="D29" s="14"/>
      <c r="E29" s="14"/>
      <c r="F29" s="14"/>
      <c r="G29" s="14"/>
      <c r="H29" s="14"/>
      <c r="I29" s="14"/>
      <c r="J29" s="14"/>
      <c r="K29" s="14"/>
      <c r="L29" s="14"/>
      <c r="M29" s="14"/>
      <c r="N29" s="14"/>
      <c r="O29" s="14"/>
      <c r="P29" s="14"/>
      <c r="Q29" s="14"/>
      <c r="R29" s="14"/>
      <c r="S29" s="94"/>
      <c r="T29" s="94"/>
      <c r="U29" s="14"/>
      <c r="V29" s="14"/>
      <c r="W29" s="14"/>
      <c r="Z29" s="101" t="s">
        <v>254</v>
      </c>
      <c r="AA29" s="10"/>
      <c r="AB29" s="10"/>
      <c r="AC29" s="10"/>
      <c r="AD29" s="26"/>
      <c r="AW29" s="17"/>
      <c r="AX29" s="127" t="s">
        <v>86</v>
      </c>
      <c r="AY29" s="127" t="s">
        <v>107</v>
      </c>
      <c r="AZ29" s="127" t="s">
        <v>108</v>
      </c>
      <c r="BA29" s="127" t="s">
        <v>8</v>
      </c>
      <c r="BB29" s="127" t="s">
        <v>111</v>
      </c>
      <c r="BC29" s="127" t="s">
        <v>2</v>
      </c>
      <c r="BD29" s="127" t="s">
        <v>109</v>
      </c>
      <c r="BE29" s="127" t="s">
        <v>363</v>
      </c>
      <c r="BF29" s="127" t="s">
        <v>88</v>
      </c>
      <c r="BG29" s="127" t="s">
        <v>167</v>
      </c>
      <c r="BH29" s="127" t="s">
        <v>471</v>
      </c>
      <c r="BI29" s="127" t="s">
        <v>472</v>
      </c>
      <c r="BJ29" s="127" t="s">
        <v>356</v>
      </c>
      <c r="BK29" s="127" t="s">
        <v>112</v>
      </c>
      <c r="BL29" s="128" t="s">
        <v>473</v>
      </c>
      <c r="BM29" s="127" t="s">
        <v>357</v>
      </c>
      <c r="BN29" s="127" t="s">
        <v>119</v>
      </c>
      <c r="BO29" s="127" t="s">
        <v>94</v>
      </c>
      <c r="BP29" s="127" t="s">
        <v>137</v>
      </c>
      <c r="BQ29" s="127" t="s">
        <v>322</v>
      </c>
      <c r="BR29" s="127" t="s">
        <v>203</v>
      </c>
      <c r="BS29" s="127" t="s">
        <v>32</v>
      </c>
      <c r="BT29" s="127" t="s">
        <v>19</v>
      </c>
      <c r="BU29" s="128" t="s">
        <v>566</v>
      </c>
      <c r="BV29" s="127" t="s">
        <v>463</v>
      </c>
      <c r="BW29" s="127" t="s">
        <v>340</v>
      </c>
      <c r="BX29" s="128" t="s">
        <v>186</v>
      </c>
      <c r="BY29" s="128" t="s">
        <v>30</v>
      </c>
      <c r="BZ29" s="127" t="s">
        <v>227</v>
      </c>
      <c r="CA29" s="207" t="s">
        <v>351</v>
      </c>
    </row>
    <row r="30" spans="1:150" x14ac:dyDescent="0.25">
      <c r="A30" s="17"/>
      <c r="B30" s="29"/>
      <c r="C30" s="127"/>
      <c r="D30" s="127"/>
      <c r="E30" s="127"/>
      <c r="F30" s="127"/>
      <c r="G30" s="127"/>
      <c r="H30" s="127"/>
      <c r="I30" s="127"/>
      <c r="J30" s="127"/>
      <c r="K30" s="127"/>
      <c r="L30" s="127"/>
      <c r="M30" s="127"/>
      <c r="N30" s="127"/>
      <c r="O30" s="127"/>
      <c r="P30" s="127"/>
      <c r="Q30" s="127"/>
      <c r="R30" s="225" t="s">
        <v>527</v>
      </c>
      <c r="S30" s="18" t="s">
        <v>528</v>
      </c>
      <c r="T30" s="16"/>
      <c r="U30" s="16"/>
      <c r="V30" s="16"/>
      <c r="W30" s="16"/>
      <c r="Z30" s="101" t="s">
        <v>529</v>
      </c>
      <c r="AA30" s="10" t="s">
        <v>45</v>
      </c>
      <c r="AB30" s="10" t="s">
        <v>4</v>
      </c>
      <c r="AC30" s="156" t="s">
        <v>45</v>
      </c>
      <c r="AD30" s="26" t="s">
        <v>4</v>
      </c>
      <c r="AW30" s="19" t="s">
        <v>365</v>
      </c>
      <c r="AX30" s="92">
        <f>S33</f>
        <v>7981.2756800000006</v>
      </c>
      <c r="AY30" s="92">
        <f>S34</f>
        <v>578.17391333333342</v>
      </c>
      <c r="AZ30" s="92">
        <f>S35</f>
        <v>233.53051400000001</v>
      </c>
      <c r="BA30" s="92">
        <f>S36</f>
        <v>645.1433333333332</v>
      </c>
      <c r="BB30" s="92">
        <f>S37</f>
        <v>951.24799642857135</v>
      </c>
      <c r="BC30" s="92">
        <f>S38</f>
        <v>942.65902857142873</v>
      </c>
      <c r="BD30" s="92">
        <f>S39</f>
        <v>294.20765833333337</v>
      </c>
      <c r="BE30" s="92">
        <f>S40</f>
        <v>3076.4294000000004</v>
      </c>
      <c r="BF30" s="92">
        <f>S41</f>
        <v>1276.2240000000006</v>
      </c>
      <c r="BG30" s="92">
        <f>S42</f>
        <v>578.16281904761911</v>
      </c>
      <c r="BH30" s="92">
        <v>0</v>
      </c>
      <c r="BI30" s="92">
        <v>0</v>
      </c>
      <c r="BJ30" s="92">
        <v>0</v>
      </c>
      <c r="BK30" s="92">
        <v>0</v>
      </c>
      <c r="BL30" s="44">
        <v>0</v>
      </c>
      <c r="BM30" s="92">
        <v>0</v>
      </c>
      <c r="BN30" s="92">
        <v>0</v>
      </c>
      <c r="BO30" s="92">
        <v>0</v>
      </c>
      <c r="BP30" s="92">
        <v>0</v>
      </c>
      <c r="BQ30" s="92">
        <v>0</v>
      </c>
      <c r="BR30" s="92">
        <v>0</v>
      </c>
      <c r="BS30" s="92">
        <v>0</v>
      </c>
      <c r="BT30" s="92">
        <v>0</v>
      </c>
      <c r="BU30" s="44">
        <v>0</v>
      </c>
      <c r="BV30" s="92">
        <v>0</v>
      </c>
      <c r="BW30" s="92">
        <v>0</v>
      </c>
      <c r="BX30" s="44">
        <v>0</v>
      </c>
      <c r="BY30" s="92">
        <v>0</v>
      </c>
      <c r="BZ30" s="92">
        <v>0</v>
      </c>
      <c r="CA30" s="230">
        <v>0</v>
      </c>
    </row>
    <row r="31" spans="1:150" x14ac:dyDescent="0.25">
      <c r="A31" s="19" t="s">
        <v>90</v>
      </c>
      <c r="B31" s="10" t="s">
        <v>152</v>
      </c>
      <c r="C31" s="16" t="str">
        <f>C6</f>
        <v>Barley (gr.)</v>
      </c>
      <c r="D31" s="16" t="str">
        <f>D6</f>
        <v>Corn (gr.)</v>
      </c>
      <c r="E31" s="16" t="str">
        <f>E6</f>
        <v>Corn(sil.)</v>
      </c>
      <c r="F31" s="16" t="str">
        <f>F6</f>
        <v>Rye(sil.)</v>
      </c>
      <c r="G31" s="16" t="s">
        <v>473</v>
      </c>
      <c r="H31" s="16" t="str">
        <f t="shared" ref="H31:O31" si="2">H6</f>
        <v>Wheat(sil.)</v>
      </c>
      <c r="I31" s="16" t="str">
        <f t="shared" si="2"/>
        <v>Alfalfa</v>
      </c>
      <c r="J31" s="16" t="str">
        <f t="shared" si="2"/>
        <v>Red Clover</v>
      </c>
      <c r="K31" s="16" t="str">
        <f t="shared" si="2"/>
        <v>Canola</v>
      </c>
      <c r="L31" s="16" t="str">
        <f t="shared" si="2"/>
        <v>Soybean</v>
      </c>
      <c r="M31" s="16" t="str">
        <f t="shared" si="2"/>
        <v>Sugar beet</v>
      </c>
      <c r="N31" s="16" t="str">
        <f t="shared" si="2"/>
        <v>Miscanthus</v>
      </c>
      <c r="O31" s="16" t="str">
        <f t="shared" si="2"/>
        <v>Switchgrass</v>
      </c>
      <c r="P31" s="16" t="s">
        <v>566</v>
      </c>
      <c r="Q31" s="16" t="str">
        <f>Q6</f>
        <v>Willow</v>
      </c>
      <c r="R31" s="226"/>
      <c r="S31" s="20"/>
      <c r="T31" s="16"/>
      <c r="U31" s="16"/>
      <c r="V31" s="16"/>
      <c r="W31" s="16"/>
      <c r="Z31" s="116" t="s">
        <v>471</v>
      </c>
      <c r="AA31" s="25">
        <f>C25</f>
        <v>0</v>
      </c>
      <c r="AB31" s="10" t="s">
        <v>530</v>
      </c>
      <c r="AC31" s="9">
        <f t="shared" ref="AC31:AC44" si="3">AA31/R$5</f>
        <v>0</v>
      </c>
      <c r="AD31" s="26" t="s">
        <v>531</v>
      </c>
      <c r="AW31" s="19" t="s">
        <v>366</v>
      </c>
      <c r="AX31" s="16">
        <v>0</v>
      </c>
      <c r="AY31" s="16">
        <v>0</v>
      </c>
      <c r="AZ31" s="16">
        <v>0</v>
      </c>
      <c r="BA31" s="16">
        <v>0</v>
      </c>
      <c r="BB31" s="16">
        <v>0</v>
      </c>
      <c r="BC31" s="16">
        <v>0</v>
      </c>
      <c r="BD31" s="16">
        <v>0</v>
      </c>
      <c r="BE31" s="16">
        <v>0</v>
      </c>
      <c r="BF31" s="16">
        <v>0</v>
      </c>
      <c r="BG31" s="16">
        <v>0</v>
      </c>
      <c r="BH31" s="92">
        <f>AC31*-1</f>
        <v>0</v>
      </c>
      <c r="BI31" s="92">
        <f>AC32*-1</f>
        <v>-113655.88</v>
      </c>
      <c r="BJ31" s="92">
        <f>AC33*-1</f>
        <v>0</v>
      </c>
      <c r="BK31" s="92">
        <f>AC34*-1</f>
        <v>0</v>
      </c>
      <c r="BL31" s="44">
        <f>AC35*-1</f>
        <v>0</v>
      </c>
      <c r="BM31" s="92">
        <f>AC36*-1</f>
        <v>0</v>
      </c>
      <c r="BN31" s="92">
        <f>AC37*-1</f>
        <v>0</v>
      </c>
      <c r="BO31" s="92">
        <f>AC38*-1</f>
        <v>0</v>
      </c>
      <c r="BP31" s="92">
        <f>AC39*-1</f>
        <v>0</v>
      </c>
      <c r="BQ31" s="92">
        <f>AC40*-1</f>
        <v>0</v>
      </c>
      <c r="BR31" s="92">
        <f>AC41*-1</f>
        <v>0</v>
      </c>
      <c r="BS31" s="92">
        <f>AC42*-1</f>
        <v>0</v>
      </c>
      <c r="BT31" s="92">
        <f>AC43*-1</f>
        <v>0</v>
      </c>
      <c r="BU31" s="44">
        <f>AC44*-1</f>
        <v>0</v>
      </c>
      <c r="BV31" s="92">
        <f>AC45*-1</f>
        <v>0</v>
      </c>
      <c r="BW31" s="92">
        <f>AC46*-1</f>
        <v>0</v>
      </c>
      <c r="BX31" s="44">
        <f>AC47*-1</f>
        <v>0</v>
      </c>
      <c r="BY31" s="92">
        <f>AC48*-1</f>
        <v>0</v>
      </c>
      <c r="BZ31" s="92">
        <f>AC49*-1</f>
        <v>0</v>
      </c>
      <c r="CA31" s="20">
        <v>0</v>
      </c>
    </row>
    <row r="32" spans="1:150" ht="15.75" thickBot="1" x14ac:dyDescent="0.3">
      <c r="A32" s="114"/>
      <c r="B32" s="91"/>
      <c r="C32" s="227"/>
      <c r="D32" s="227"/>
      <c r="E32" s="227"/>
      <c r="F32" s="227"/>
      <c r="G32" s="227"/>
      <c r="H32" s="227"/>
      <c r="I32" s="227"/>
      <c r="J32" s="227"/>
      <c r="K32" s="227"/>
      <c r="L32" s="227"/>
      <c r="M32" s="227"/>
      <c r="N32" s="227"/>
      <c r="O32" s="227"/>
      <c r="P32" s="227"/>
      <c r="Q32" s="227"/>
      <c r="R32" s="228"/>
      <c r="S32" s="115"/>
      <c r="T32" s="44"/>
      <c r="U32" s="44"/>
      <c r="V32" s="44"/>
      <c r="W32" s="44"/>
      <c r="Z32" s="116" t="s">
        <v>472</v>
      </c>
      <c r="AA32" s="25">
        <f>D25</f>
        <v>11365588</v>
      </c>
      <c r="AB32" s="10" t="s">
        <v>530</v>
      </c>
      <c r="AC32" s="9">
        <f t="shared" si="3"/>
        <v>113655.88</v>
      </c>
      <c r="AD32" s="26" t="s">
        <v>531</v>
      </c>
      <c r="AW32" s="27" t="s">
        <v>367</v>
      </c>
      <c r="AX32" s="260">
        <v>0</v>
      </c>
      <c r="AY32" s="260">
        <v>0</v>
      </c>
      <c r="AZ32" s="260">
        <v>0</v>
      </c>
      <c r="BA32" s="260">
        <v>0</v>
      </c>
      <c r="BB32" s="260">
        <v>0</v>
      </c>
      <c r="BC32" s="260">
        <v>0</v>
      </c>
      <c r="BD32" s="260">
        <v>0</v>
      </c>
      <c r="BE32" s="260">
        <v>0</v>
      </c>
      <c r="BF32" s="260">
        <v>0</v>
      </c>
      <c r="BG32" s="260">
        <v>0</v>
      </c>
      <c r="BH32" s="260">
        <v>0</v>
      </c>
      <c r="BI32" s="260">
        <v>0</v>
      </c>
      <c r="BJ32" s="260">
        <v>0</v>
      </c>
      <c r="BK32" s="260">
        <v>0</v>
      </c>
      <c r="BL32" s="45">
        <v>0</v>
      </c>
      <c r="BM32" s="260">
        <v>0</v>
      </c>
      <c r="BN32" s="260">
        <v>0</v>
      </c>
      <c r="BO32" s="260">
        <v>0</v>
      </c>
      <c r="BP32" s="260">
        <v>0</v>
      </c>
      <c r="BQ32" s="260">
        <v>0</v>
      </c>
      <c r="BR32" s="260">
        <v>0</v>
      </c>
      <c r="BS32" s="260">
        <v>0</v>
      </c>
      <c r="BT32" s="260">
        <v>0</v>
      </c>
      <c r="BU32" s="45">
        <v>0</v>
      </c>
      <c r="BV32" s="260">
        <v>0</v>
      </c>
      <c r="BW32" s="260">
        <v>0</v>
      </c>
      <c r="BX32" s="45">
        <v>0</v>
      </c>
      <c r="BY32" s="260">
        <v>0</v>
      </c>
      <c r="BZ32" s="260">
        <v>0</v>
      </c>
      <c r="CA32" s="233">
        <f>SUM(AX30:CA30)+SUM(AX31:CA31)</f>
        <v>-97098.82565695238</v>
      </c>
    </row>
    <row r="33" spans="1:48" x14ac:dyDescent="0.25">
      <c r="A33" s="19" t="s">
        <v>86</v>
      </c>
      <c r="B33" s="91"/>
      <c r="C33" s="92">
        <f>(C5*C10*Energy!$B$3)</f>
        <v>0</v>
      </c>
      <c r="D33" s="92">
        <f>(D5*D10*Energy!$B$3)</f>
        <v>798127.56800000009</v>
      </c>
      <c r="E33" s="92">
        <f>(E5*E10*Energy!$B$3)</f>
        <v>0</v>
      </c>
      <c r="F33" s="92">
        <f>(F5*F10*Energy!$B$3)</f>
        <v>0</v>
      </c>
      <c r="G33" s="92">
        <f>(G5*G10*Energy!$B$3)</f>
        <v>0</v>
      </c>
      <c r="H33" s="92">
        <f>(H5*H10*Energy!$B$3)</f>
        <v>0</v>
      </c>
      <c r="I33" s="92">
        <f>(I5*I10*Energy!$B$3)</f>
        <v>0</v>
      </c>
      <c r="J33" s="92">
        <f>(J5*J10*Energy!$B$3)</f>
        <v>0</v>
      </c>
      <c r="K33" s="92">
        <f>(K5*K10*Energy!$B$3)</f>
        <v>0</v>
      </c>
      <c r="L33" s="92">
        <f>(L5*L10*Energy!$B$3)</f>
        <v>0</v>
      </c>
      <c r="M33" s="92">
        <f>(M5*M10*Energy!$B$3)</f>
        <v>0</v>
      </c>
      <c r="N33" s="92">
        <f>(N5*N10*Energy!$B$3)</f>
        <v>0</v>
      </c>
      <c r="O33" s="92">
        <f>(O5*O10*Energy!$B$3)</f>
        <v>0</v>
      </c>
      <c r="P33" s="92">
        <f>(P5*P10*Energy!$B$3)</f>
        <v>0</v>
      </c>
      <c r="Q33" s="92">
        <f>(Q5*Q10*Energy!$B$3)</f>
        <v>0</v>
      </c>
      <c r="R33" s="229">
        <f>IF(SUM(C33:Q33)-(AgInputs!B850*L5*L7*1000+AgInputs!B848*J5+AgInputs!B849*I5)*(Energy!$B3+Energy!$B$353)&lt;0,0,SUM(C33:Q33)-(AgInputs!B850*L5*L7*1000+AgInputs!B848*J5+AgInputs!B849*I5)*(Energy!$B3+Energy!$B$353))</f>
        <v>798127.56800000009</v>
      </c>
      <c r="S33" s="230">
        <f t="shared" ref="S33:S42" si="4">R33/R$5</f>
        <v>7981.2756800000006</v>
      </c>
      <c r="T33" s="92"/>
      <c r="U33" s="92"/>
      <c r="V33" s="92"/>
      <c r="W33" s="92"/>
      <c r="Z33" s="116" t="s">
        <v>356</v>
      </c>
      <c r="AA33" s="25">
        <f>E25</f>
        <v>0</v>
      </c>
      <c r="AB33" s="10" t="s">
        <v>530</v>
      </c>
      <c r="AC33" s="9">
        <f t="shared" si="3"/>
        <v>0</v>
      </c>
      <c r="AD33" s="26" t="s">
        <v>531</v>
      </c>
    </row>
    <row r="34" spans="1:48" x14ac:dyDescent="0.25">
      <c r="A34" s="19" t="s">
        <v>493</v>
      </c>
      <c r="B34" s="91"/>
      <c r="C34" s="92">
        <f>(C11*C5*Energy!$B$91)</f>
        <v>0</v>
      </c>
      <c r="D34" s="92">
        <f>(D11*D5*Energy!$B$91)</f>
        <v>57817.39133333334</v>
      </c>
      <c r="E34" s="92">
        <f>(E11*E5*Energy!$B$91)</f>
        <v>0</v>
      </c>
      <c r="F34" s="92">
        <f>(F11*F5*Energy!$B$91)</f>
        <v>0</v>
      </c>
      <c r="G34" s="92">
        <f>(G11*G5*Energy!$B$91)</f>
        <v>0</v>
      </c>
      <c r="H34" s="92">
        <f>(H11*H5*Energy!$B$91)</f>
        <v>0</v>
      </c>
      <c r="I34" s="92">
        <f>(I11*I5*Energy!$B$91)</f>
        <v>0</v>
      </c>
      <c r="J34" s="92">
        <f>(J11*J5*Energy!$B$91)</f>
        <v>0</v>
      </c>
      <c r="K34" s="92">
        <f>(K11*K5*Energy!$B$91)</f>
        <v>0</v>
      </c>
      <c r="L34" s="92">
        <f>(L11*L5*Energy!$B$91)</f>
        <v>0</v>
      </c>
      <c r="M34" s="92">
        <f>(M11*M5*Energy!$B$91)</f>
        <v>0</v>
      </c>
      <c r="N34" s="92">
        <f>(N11*N5*Energy!$B$91)</f>
        <v>0</v>
      </c>
      <c r="O34" s="92">
        <f>(O11*O5*Energy!$B$91)</f>
        <v>0</v>
      </c>
      <c r="P34" s="92">
        <f>(P11*P5*Energy!$B$91)</f>
        <v>0</v>
      </c>
      <c r="Q34" s="92">
        <f>(Q11*Q5*Energy!$B$91)</f>
        <v>0</v>
      </c>
      <c r="R34" s="229">
        <f>SUM(C34:Q34)</f>
        <v>57817.39133333334</v>
      </c>
      <c r="S34" s="230">
        <f t="shared" si="4"/>
        <v>578.17391333333342</v>
      </c>
      <c r="T34" s="92"/>
      <c r="U34" s="92"/>
      <c r="V34" s="92"/>
      <c r="W34" s="92"/>
      <c r="Z34" s="116" t="s">
        <v>112</v>
      </c>
      <c r="AA34" s="72">
        <f>F25</f>
        <v>0</v>
      </c>
      <c r="AB34" s="10" t="s">
        <v>530</v>
      </c>
      <c r="AC34" s="9">
        <f t="shared" si="3"/>
        <v>0</v>
      </c>
      <c r="AD34" s="26" t="s">
        <v>531</v>
      </c>
      <c r="AV34" s="10"/>
    </row>
    <row r="35" spans="1:48" x14ac:dyDescent="0.25">
      <c r="A35" s="19" t="s">
        <v>494</v>
      </c>
      <c r="B35" s="91"/>
      <c r="C35" s="92">
        <f>(C12*C5*Energy!$B$128)</f>
        <v>0</v>
      </c>
      <c r="D35" s="92">
        <f>(D12*D5*Energy!$B$128)</f>
        <v>23353.0514</v>
      </c>
      <c r="E35" s="92">
        <f>(E12*E5*Energy!$B$128)</f>
        <v>0</v>
      </c>
      <c r="F35" s="92">
        <f>(F12*F5*Energy!$B$128)</f>
        <v>0</v>
      </c>
      <c r="G35" s="92">
        <f>(G12*G5*Energy!$B$128)</f>
        <v>0</v>
      </c>
      <c r="H35" s="92">
        <f>(H12*H5*Energy!$B$128)</f>
        <v>0</v>
      </c>
      <c r="I35" s="92">
        <f>(I12*I5*Energy!$B$128)</f>
        <v>0</v>
      </c>
      <c r="J35" s="92">
        <f>(J12*J5*Energy!$B$128)</f>
        <v>0</v>
      </c>
      <c r="K35" s="92">
        <f>(K12*K5*Energy!$B$128)</f>
        <v>0</v>
      </c>
      <c r="L35" s="92">
        <f>(L12*L5*Energy!$B$128)</f>
        <v>0</v>
      </c>
      <c r="M35" s="92">
        <f>(M12*M5*Energy!$B$128)</f>
        <v>0</v>
      </c>
      <c r="N35" s="92">
        <f>(N12*N5*Energy!$B$128)</f>
        <v>0</v>
      </c>
      <c r="O35" s="92">
        <f>(O12*O5*Energy!$B$128)</f>
        <v>0</v>
      </c>
      <c r="P35" s="92">
        <f>(P12*P5*Energy!$B$128)</f>
        <v>0</v>
      </c>
      <c r="Q35" s="92">
        <f>(Q12*Q5*Energy!$B$128)</f>
        <v>0</v>
      </c>
      <c r="R35" s="229">
        <f t="shared" ref="R35:R42" si="5">SUM(C35:Q35)</f>
        <v>23353.0514</v>
      </c>
      <c r="S35" s="230">
        <f t="shared" si="4"/>
        <v>233.53051400000001</v>
      </c>
      <c r="T35" s="92"/>
      <c r="U35" s="92"/>
      <c r="V35" s="92"/>
      <c r="W35" s="92"/>
      <c r="Z35" s="117" t="s">
        <v>473</v>
      </c>
      <c r="AA35" s="25">
        <f>G25</f>
        <v>0</v>
      </c>
      <c r="AB35" s="10" t="s">
        <v>530</v>
      </c>
      <c r="AC35" s="13">
        <f t="shared" si="3"/>
        <v>0</v>
      </c>
      <c r="AD35" s="26" t="s">
        <v>531</v>
      </c>
      <c r="AV35" s="10"/>
    </row>
    <row r="36" spans="1:48" x14ac:dyDescent="0.25">
      <c r="A36" s="19" t="s">
        <v>8</v>
      </c>
      <c r="B36" s="91"/>
      <c r="C36" s="92">
        <f>(C13*C5*Energy!$B$159)</f>
        <v>0</v>
      </c>
      <c r="D36" s="92">
        <f>(D13*D5*Energy!$B$159)</f>
        <v>64514.333333333321</v>
      </c>
      <c r="E36" s="92">
        <f>(E13*E5*Energy!$B$159)</f>
        <v>0</v>
      </c>
      <c r="F36" s="92">
        <f>(F13*F5*Energy!$B$159)</f>
        <v>0</v>
      </c>
      <c r="G36" s="92">
        <f>(G13*G5*Energy!$B$159)</f>
        <v>0</v>
      </c>
      <c r="H36" s="92">
        <f>(H13*H5*Energy!$B$159)</f>
        <v>0</v>
      </c>
      <c r="I36" s="92">
        <f>(I13*I5*Energy!$B$159)</f>
        <v>0</v>
      </c>
      <c r="J36" s="92">
        <f>(J13*J5*Energy!$B$159)</f>
        <v>0</v>
      </c>
      <c r="K36" s="92">
        <f>(K13*K5*Energy!$B$159)</f>
        <v>0</v>
      </c>
      <c r="L36" s="92">
        <f>(L13*L5*Energy!$B$159)</f>
        <v>0</v>
      </c>
      <c r="M36" s="92">
        <f>(M13*M5*Energy!$B$159)</f>
        <v>0</v>
      </c>
      <c r="N36" s="92">
        <f>(N13*N5*Energy!$B$159)</f>
        <v>0</v>
      </c>
      <c r="O36" s="92">
        <f>(O13*O5*Energy!$B$159)</f>
        <v>0</v>
      </c>
      <c r="P36" s="92">
        <f>(P13*P5*Energy!$B$159)</f>
        <v>0</v>
      </c>
      <c r="Q36" s="92">
        <f>(Q13*Q5*Energy!$B$159)</f>
        <v>0</v>
      </c>
      <c r="R36" s="229">
        <f t="shared" si="5"/>
        <v>64514.333333333321</v>
      </c>
      <c r="S36" s="230">
        <f t="shared" si="4"/>
        <v>645.1433333333332</v>
      </c>
      <c r="T36" s="92"/>
      <c r="U36" s="92"/>
      <c r="V36" s="92"/>
      <c r="W36" s="92"/>
      <c r="Z36" s="116" t="s">
        <v>357</v>
      </c>
      <c r="AA36" s="72">
        <f>H25</f>
        <v>0</v>
      </c>
      <c r="AB36" s="10" t="s">
        <v>530</v>
      </c>
      <c r="AC36" s="9">
        <f t="shared" si="3"/>
        <v>0</v>
      </c>
      <c r="AD36" s="26" t="s">
        <v>531</v>
      </c>
    </row>
    <row r="37" spans="1:48" x14ac:dyDescent="0.25">
      <c r="A37" s="19" t="s">
        <v>111</v>
      </c>
      <c r="B37" s="91"/>
      <c r="C37" s="92">
        <f>(C14*C5*Energy!B192)</f>
        <v>0</v>
      </c>
      <c r="D37" s="92">
        <f>(D14*D5*Energy!B169)</f>
        <v>95124.799642857135</v>
      </c>
      <c r="E37" s="92">
        <f>(E14*E5*Energy!B169)</f>
        <v>0</v>
      </c>
      <c r="F37" s="92">
        <f>(F14*F5*Energy!B179)</f>
        <v>0</v>
      </c>
      <c r="G37" s="92">
        <f>(G14*G5*Energy!B192)</f>
        <v>0</v>
      </c>
      <c r="H37" s="92">
        <f>(H14*H5*Energy!B179)</f>
        <v>0</v>
      </c>
      <c r="I37" s="92">
        <f>I14*I5*Energy!B221</f>
        <v>0</v>
      </c>
      <c r="J37" s="92">
        <f>(J14*J5*Energy!B233)</f>
        <v>0</v>
      </c>
      <c r="K37" s="92">
        <f>(K14*K5*Energy!B202)</f>
        <v>0</v>
      </c>
      <c r="L37" s="92">
        <f>(L14*L5*Energy!B212)</f>
        <v>0</v>
      </c>
      <c r="M37" s="92">
        <f>(M14*M5*Energy!B250)</f>
        <v>0</v>
      </c>
      <c r="N37" s="92">
        <f>(N14*N5*Energy!B242)</f>
        <v>0</v>
      </c>
      <c r="O37" s="92">
        <f>(O14*O5*Energy!B223)</f>
        <v>0</v>
      </c>
      <c r="P37" s="231">
        <f>((AgInputs!B328*Energy!B261)*P5)</f>
        <v>0</v>
      </c>
      <c r="Q37" s="231">
        <f>((AgInputs!B328*Energy!B261)*Q5)</f>
        <v>0</v>
      </c>
      <c r="R37" s="229">
        <f t="shared" si="5"/>
        <v>95124.799642857135</v>
      </c>
      <c r="S37" s="230">
        <f t="shared" si="4"/>
        <v>951.24799642857135</v>
      </c>
      <c r="T37" s="92"/>
      <c r="U37" s="92"/>
      <c r="V37" s="92"/>
      <c r="W37" s="92"/>
      <c r="Z37" s="116" t="s">
        <v>119</v>
      </c>
      <c r="AA37" s="25">
        <f>I25</f>
        <v>0</v>
      </c>
      <c r="AB37" s="10" t="s">
        <v>530</v>
      </c>
      <c r="AC37" s="9">
        <f t="shared" si="3"/>
        <v>0</v>
      </c>
      <c r="AD37" s="26" t="s">
        <v>531</v>
      </c>
    </row>
    <row r="38" spans="1:48" x14ac:dyDescent="0.25">
      <c r="A38" s="19" t="s">
        <v>2</v>
      </c>
      <c r="B38" s="91"/>
      <c r="C38" s="92">
        <f>(C15*C5*Energy!$B$278)</f>
        <v>0</v>
      </c>
      <c r="D38" s="92">
        <f>(D15*D5*Energy!$B$264)</f>
        <v>94265.902857142879</v>
      </c>
      <c r="E38" s="92">
        <f>(E15*E5*Energy!$B$264)</f>
        <v>0</v>
      </c>
      <c r="F38" s="92">
        <f>(F15*F5*Energy!$B$264)</f>
        <v>0</v>
      </c>
      <c r="G38" s="92">
        <f>(G15*G5*Energy!$B$278)</f>
        <v>0</v>
      </c>
      <c r="H38" s="92">
        <f>(H15*H5*Energy!$B$264)</f>
        <v>0</v>
      </c>
      <c r="I38" s="92">
        <f>(I15*I5*Energy!$B264)</f>
        <v>0</v>
      </c>
      <c r="J38" s="92">
        <f>(J15*J5*Energy!$B$264)</f>
        <v>0</v>
      </c>
      <c r="K38" s="92">
        <f>(K15*K5*Energy!B278)</f>
        <v>0</v>
      </c>
      <c r="L38" s="92">
        <f>(L15*L5*Energy!$B$264)</f>
        <v>0</v>
      </c>
      <c r="M38" s="92">
        <f>(M15*M5*Energy!$B$278)</f>
        <v>0</v>
      </c>
      <c r="N38" s="92">
        <f>N5*(AgInputs!B384*Energy!B281+AgInputs!B385*Energy!B282+AgInputs!B386*Energy!B278)</f>
        <v>0</v>
      </c>
      <c r="O38" s="92">
        <f>(O15*O5*Energy!$B264)</f>
        <v>0</v>
      </c>
      <c r="P38" s="92">
        <f>(P15*P5*Energy!$B264)</f>
        <v>0</v>
      </c>
      <c r="Q38" s="92">
        <f>(Q15*Q5*Energy!$B$278)</f>
        <v>0</v>
      </c>
      <c r="R38" s="229">
        <f t="shared" si="5"/>
        <v>94265.902857142879</v>
      </c>
      <c r="S38" s="230">
        <f t="shared" si="4"/>
        <v>942.65902857142873</v>
      </c>
      <c r="T38" s="92"/>
      <c r="U38" s="92"/>
      <c r="V38" s="92"/>
      <c r="W38" s="92"/>
      <c r="Z38" s="116" t="s">
        <v>94</v>
      </c>
      <c r="AA38" s="25">
        <f>J25</f>
        <v>0</v>
      </c>
      <c r="AB38" s="10" t="s">
        <v>530</v>
      </c>
      <c r="AC38" s="9">
        <f t="shared" si="3"/>
        <v>0</v>
      </c>
      <c r="AD38" s="26" t="s">
        <v>531</v>
      </c>
    </row>
    <row r="39" spans="1:48" x14ac:dyDescent="0.25">
      <c r="A39" s="19" t="s">
        <v>109</v>
      </c>
      <c r="B39" s="91"/>
      <c r="C39" s="92">
        <f>(C16*C5*Energy!$B309)</f>
        <v>0</v>
      </c>
      <c r="D39" s="92">
        <f>(D16*D5*Energy!$B309)</f>
        <v>29420.765833333335</v>
      </c>
      <c r="E39" s="92">
        <f>(E16*E5*Energy!$B309)</f>
        <v>0</v>
      </c>
      <c r="F39" s="92">
        <f>(F16*F5*Energy!$B309)</f>
        <v>0</v>
      </c>
      <c r="G39" s="92">
        <f>(G16*G5*Energy!$B309)</f>
        <v>0</v>
      </c>
      <c r="H39" s="92">
        <f>(H16*H5*Energy!$B309)</f>
        <v>0</v>
      </c>
      <c r="I39" s="92">
        <f>(I16*I5*Energy!$B309)</f>
        <v>0</v>
      </c>
      <c r="J39" s="92">
        <f>(J16*J5*Energy!$B309)</f>
        <v>0</v>
      </c>
      <c r="K39" s="92">
        <f>(K16*K5*Energy!$B309)</f>
        <v>0</v>
      </c>
      <c r="L39" s="92">
        <f>(L16*L5*Energy!$B309)</f>
        <v>0</v>
      </c>
      <c r="M39" s="92">
        <f>(M16*M5*Energy!$B309)</f>
        <v>0</v>
      </c>
      <c r="N39" s="92">
        <f>(N16*N5*Energy!$B309)</f>
        <v>0</v>
      </c>
      <c r="O39" s="92">
        <f>(O16*O5*Energy!$B309)</f>
        <v>0</v>
      </c>
      <c r="P39" s="92">
        <f>(P16*P5*Energy!$B309)</f>
        <v>0</v>
      </c>
      <c r="Q39" s="92">
        <v>0</v>
      </c>
      <c r="R39" s="229">
        <f t="shared" si="5"/>
        <v>29420.765833333335</v>
      </c>
      <c r="S39" s="230">
        <f t="shared" si="4"/>
        <v>294.20765833333337</v>
      </c>
      <c r="T39" s="92"/>
      <c r="U39" s="92"/>
      <c r="V39" s="92"/>
      <c r="W39" s="92"/>
      <c r="Z39" s="116" t="s">
        <v>137</v>
      </c>
      <c r="AA39" s="25">
        <f>K25</f>
        <v>0</v>
      </c>
      <c r="AB39" s="10" t="s">
        <v>530</v>
      </c>
      <c r="AC39" s="9">
        <f t="shared" si="3"/>
        <v>0</v>
      </c>
      <c r="AD39" s="26" t="s">
        <v>531</v>
      </c>
    </row>
    <row r="40" spans="1:48" x14ac:dyDescent="0.25">
      <c r="A40" s="19" t="s">
        <v>363</v>
      </c>
      <c r="B40" s="91"/>
      <c r="C40" s="231">
        <f>(C17*C5*Energy!$B334)</f>
        <v>0</v>
      </c>
      <c r="D40" s="231">
        <f>(D17*D5*Energy!$B334)</f>
        <v>307642.94000000006</v>
      </c>
      <c r="E40" s="231">
        <f>(E17*E5*Energy!$B334)</f>
        <v>0</v>
      </c>
      <c r="F40" s="231">
        <f>(F17*F5*Energy!$B334)</f>
        <v>0</v>
      </c>
      <c r="G40" s="231">
        <f>(G17*G5*Energy!$B334)</f>
        <v>0</v>
      </c>
      <c r="H40" s="231">
        <f>(H17*H5*Energy!$B334)</f>
        <v>0</v>
      </c>
      <c r="I40" s="231">
        <f>(I17*I5*Energy!$B334)</f>
        <v>0</v>
      </c>
      <c r="J40" s="231">
        <f>(J17*J5*Energy!$B334)</f>
        <v>0</v>
      </c>
      <c r="K40" s="231">
        <f>(K17*K5*Energy!$B334)</f>
        <v>0</v>
      </c>
      <c r="L40" s="231">
        <f>(L17*L5*Energy!$B334)</f>
        <v>0</v>
      </c>
      <c r="M40" s="231">
        <f>(M17*M5*Energy!$B334)</f>
        <v>0</v>
      </c>
      <c r="N40" s="231">
        <f>(N17*N5*Energy!$B334)</f>
        <v>0</v>
      </c>
      <c r="O40" s="231">
        <f>(O17*O5*Energy!$B334)</f>
        <v>0</v>
      </c>
      <c r="P40" s="231">
        <f>(P17*P5*Energy!$B334)</f>
        <v>0</v>
      </c>
      <c r="Q40" s="231">
        <f>(Q17*Q5*Energy!$B334)</f>
        <v>0</v>
      </c>
      <c r="R40" s="229">
        <f t="shared" si="5"/>
        <v>307642.94000000006</v>
      </c>
      <c r="S40" s="230">
        <f t="shared" si="4"/>
        <v>3076.4294000000004</v>
      </c>
      <c r="T40" s="92"/>
      <c r="U40" s="231"/>
      <c r="V40" s="231"/>
      <c r="W40" s="231"/>
      <c r="Z40" s="116" t="s">
        <v>322</v>
      </c>
      <c r="AA40" s="25">
        <f>L25</f>
        <v>0</v>
      </c>
      <c r="AB40" s="10" t="s">
        <v>530</v>
      </c>
      <c r="AC40" s="9">
        <f t="shared" si="3"/>
        <v>0</v>
      </c>
      <c r="AD40" s="26" t="s">
        <v>531</v>
      </c>
    </row>
    <row r="41" spans="1:48" x14ac:dyDescent="0.25">
      <c r="A41" s="19" t="s">
        <v>88</v>
      </c>
      <c r="B41" s="91"/>
      <c r="C41" s="92">
        <f t="shared" ref="C41:K41" si="6">C18</f>
        <v>0</v>
      </c>
      <c r="D41" s="92">
        <f t="shared" si="6"/>
        <v>127622.40000000005</v>
      </c>
      <c r="E41" s="92">
        <f t="shared" si="6"/>
        <v>0</v>
      </c>
      <c r="F41" s="92">
        <f t="shared" si="6"/>
        <v>0</v>
      </c>
      <c r="G41" s="92">
        <f t="shared" si="6"/>
        <v>0</v>
      </c>
      <c r="H41" s="92">
        <f t="shared" si="6"/>
        <v>0</v>
      </c>
      <c r="I41" s="92">
        <f t="shared" si="6"/>
        <v>0</v>
      </c>
      <c r="J41" s="92">
        <f t="shared" si="6"/>
        <v>0</v>
      </c>
      <c r="K41" s="92">
        <f t="shared" si="6"/>
        <v>0</v>
      </c>
      <c r="L41" s="92">
        <f>L18</f>
        <v>0</v>
      </c>
      <c r="M41" s="92">
        <v>0</v>
      </c>
      <c r="N41" s="92">
        <v>0</v>
      </c>
      <c r="O41" s="92">
        <f>O18</f>
        <v>0</v>
      </c>
      <c r="P41" s="92">
        <f>P18</f>
        <v>0</v>
      </c>
      <c r="Q41" s="92">
        <v>0</v>
      </c>
      <c r="R41" s="229">
        <f t="shared" si="5"/>
        <v>127622.40000000005</v>
      </c>
      <c r="S41" s="230">
        <f t="shared" si="4"/>
        <v>1276.2240000000006</v>
      </c>
      <c r="T41" s="92"/>
      <c r="U41" s="92"/>
      <c r="V41" s="92"/>
      <c r="W41" s="92"/>
      <c r="Z41" s="116" t="s">
        <v>203</v>
      </c>
      <c r="AA41" s="25">
        <f>M25</f>
        <v>0</v>
      </c>
      <c r="AB41" s="10" t="s">
        <v>530</v>
      </c>
      <c r="AC41" s="9">
        <f t="shared" si="3"/>
        <v>0</v>
      </c>
      <c r="AD41" s="26" t="s">
        <v>531</v>
      </c>
    </row>
    <row r="42" spans="1:48" ht="15.75" thickBot="1" x14ac:dyDescent="0.3">
      <c r="A42" s="27" t="s">
        <v>87</v>
      </c>
      <c r="B42" s="113"/>
      <c r="C42" s="93">
        <f t="shared" ref="C42:Q42" si="7">(C19*C5*(C10+C11+C12+C13+C14+C15+C16))</f>
        <v>0</v>
      </c>
      <c r="D42" s="93">
        <f t="shared" si="7"/>
        <v>57816.281904761912</v>
      </c>
      <c r="E42" s="93">
        <f t="shared" si="7"/>
        <v>0</v>
      </c>
      <c r="F42" s="93">
        <f t="shared" si="7"/>
        <v>0</v>
      </c>
      <c r="G42" s="93">
        <f t="shared" si="7"/>
        <v>0</v>
      </c>
      <c r="H42" s="93">
        <f t="shared" si="7"/>
        <v>0</v>
      </c>
      <c r="I42" s="93">
        <f t="shared" si="7"/>
        <v>0</v>
      </c>
      <c r="J42" s="93">
        <f t="shared" si="7"/>
        <v>0</v>
      </c>
      <c r="K42" s="93">
        <f t="shared" si="7"/>
        <v>0</v>
      </c>
      <c r="L42" s="93">
        <f t="shared" si="7"/>
        <v>0</v>
      </c>
      <c r="M42" s="93">
        <f t="shared" si="7"/>
        <v>0</v>
      </c>
      <c r="N42" s="93">
        <f t="shared" si="7"/>
        <v>0</v>
      </c>
      <c r="O42" s="93">
        <f t="shared" si="7"/>
        <v>0</v>
      </c>
      <c r="P42" s="93">
        <f t="shared" si="7"/>
        <v>0</v>
      </c>
      <c r="Q42" s="93">
        <f t="shared" si="7"/>
        <v>0</v>
      </c>
      <c r="R42" s="232">
        <f t="shared" si="5"/>
        <v>57816.281904761912</v>
      </c>
      <c r="S42" s="233">
        <f t="shared" si="4"/>
        <v>578.16281904761911</v>
      </c>
      <c r="T42" s="92"/>
      <c r="U42" s="92"/>
      <c r="V42" s="92"/>
      <c r="W42" s="92"/>
      <c r="Z42" s="116" t="s">
        <v>32</v>
      </c>
      <c r="AA42" s="72">
        <f>N25</f>
        <v>0</v>
      </c>
      <c r="AB42" s="10" t="s">
        <v>530</v>
      </c>
      <c r="AC42" s="9">
        <f t="shared" si="3"/>
        <v>0</v>
      </c>
      <c r="AD42" s="26" t="s">
        <v>531</v>
      </c>
    </row>
    <row r="43" spans="1:48" x14ac:dyDescent="0.25">
      <c r="C43" s="14"/>
      <c r="D43" s="14"/>
      <c r="E43" s="14"/>
      <c r="F43" s="14"/>
      <c r="G43" s="14"/>
      <c r="H43" s="14"/>
      <c r="I43" s="14"/>
      <c r="J43" s="14"/>
      <c r="K43" s="14"/>
      <c r="L43" s="14"/>
      <c r="M43" s="14"/>
      <c r="N43" s="14"/>
      <c r="O43" s="14"/>
      <c r="P43" s="14"/>
      <c r="Q43" s="14"/>
      <c r="R43" s="14"/>
      <c r="S43" s="94"/>
      <c r="T43" s="94"/>
      <c r="U43" s="14"/>
      <c r="V43" s="14"/>
      <c r="W43" s="14"/>
      <c r="Z43" s="116" t="s">
        <v>19</v>
      </c>
      <c r="AA43" s="25">
        <f>O25</f>
        <v>0</v>
      </c>
      <c r="AB43" s="10" t="s">
        <v>530</v>
      </c>
      <c r="AC43" s="9">
        <f t="shared" si="3"/>
        <v>0</v>
      </c>
      <c r="AD43" s="26" t="s">
        <v>531</v>
      </c>
    </row>
    <row r="44" spans="1:48" x14ac:dyDescent="0.25">
      <c r="C44" s="14"/>
      <c r="D44" s="14"/>
      <c r="E44" s="14"/>
      <c r="F44" s="14"/>
      <c r="G44" s="14"/>
      <c r="H44" s="14"/>
      <c r="I44" s="14"/>
      <c r="J44" s="14"/>
      <c r="K44" s="14"/>
      <c r="L44" s="14"/>
      <c r="M44" s="14"/>
      <c r="N44" s="14"/>
      <c r="O44" s="14"/>
      <c r="P44" s="14"/>
      <c r="Q44" s="14"/>
      <c r="R44" s="14"/>
      <c r="S44" s="94"/>
      <c r="T44" s="94"/>
      <c r="U44" s="14"/>
      <c r="V44" s="14"/>
      <c r="W44" s="14"/>
      <c r="Z44" s="117" t="s">
        <v>566</v>
      </c>
      <c r="AA44" s="25">
        <f>P25</f>
        <v>0</v>
      </c>
      <c r="AB44" s="10" t="s">
        <v>530</v>
      </c>
      <c r="AC44" s="9">
        <f t="shared" si="3"/>
        <v>0</v>
      </c>
      <c r="AD44" s="26" t="s">
        <v>531</v>
      </c>
    </row>
    <row r="45" spans="1:48" x14ac:dyDescent="0.25">
      <c r="C45" s="14"/>
      <c r="D45" s="14"/>
      <c r="E45" s="14"/>
      <c r="F45" s="14"/>
      <c r="G45" s="14"/>
      <c r="H45" s="14"/>
      <c r="I45" s="14"/>
      <c r="J45" s="14"/>
      <c r="K45" s="14"/>
      <c r="L45" s="14"/>
      <c r="M45" s="14"/>
      <c r="N45" s="14"/>
      <c r="O45" s="14"/>
      <c r="P45" s="14"/>
      <c r="Q45" s="14"/>
      <c r="R45" s="14"/>
      <c r="S45" s="94"/>
      <c r="T45" s="94"/>
      <c r="U45" s="14"/>
      <c r="V45" s="14"/>
      <c r="W45" s="14"/>
      <c r="Z45" s="117" t="s">
        <v>463</v>
      </c>
      <c r="AA45" s="25">
        <f>Q25</f>
        <v>0</v>
      </c>
      <c r="AB45" s="10" t="s">
        <v>530</v>
      </c>
      <c r="AC45" s="9">
        <f>AA45/R$5</f>
        <v>0</v>
      </c>
      <c r="AD45" s="26" t="s">
        <v>531</v>
      </c>
    </row>
    <row r="46" spans="1:48" s="8" customFormat="1" x14ac:dyDescent="0.25">
      <c r="C46" s="94"/>
      <c r="D46" s="94"/>
      <c r="E46" s="94"/>
      <c r="F46" s="94"/>
      <c r="G46" s="94"/>
      <c r="H46" s="94"/>
      <c r="I46" s="94"/>
      <c r="J46" s="94"/>
      <c r="K46" s="94"/>
      <c r="L46" s="94"/>
      <c r="M46" s="94"/>
      <c r="N46" s="94"/>
      <c r="O46" s="94"/>
      <c r="P46" s="94"/>
      <c r="Q46" s="94"/>
      <c r="R46" s="94"/>
      <c r="S46" s="94"/>
      <c r="T46" s="94"/>
      <c r="U46" s="94"/>
      <c r="V46" s="94"/>
      <c r="W46" s="94"/>
      <c r="Z46" s="19" t="s">
        <v>340</v>
      </c>
      <c r="AA46" s="72">
        <f>T25</f>
        <v>0</v>
      </c>
      <c r="AB46" s="10" t="s">
        <v>530</v>
      </c>
      <c r="AC46" s="9">
        <f>AA46/R$5</f>
        <v>0</v>
      </c>
      <c r="AD46" s="26" t="s">
        <v>531</v>
      </c>
    </row>
    <row r="47" spans="1:48" x14ac:dyDescent="0.25">
      <c r="C47" s="14"/>
      <c r="D47" s="14"/>
      <c r="E47" s="14"/>
      <c r="F47" s="14"/>
      <c r="G47" s="14"/>
      <c r="H47" s="14"/>
      <c r="I47" s="14"/>
      <c r="J47" s="14"/>
      <c r="K47" s="14"/>
      <c r="L47" s="14"/>
      <c r="M47" s="14"/>
      <c r="N47" s="14"/>
      <c r="O47" s="14"/>
      <c r="P47" s="14"/>
      <c r="Q47" s="14"/>
      <c r="R47" s="14"/>
      <c r="S47" s="94"/>
      <c r="T47" s="94"/>
      <c r="U47" s="14"/>
      <c r="V47" s="14"/>
      <c r="W47" s="14"/>
      <c r="Z47" s="117" t="s">
        <v>186</v>
      </c>
      <c r="AA47" s="13">
        <f>U25</f>
        <v>0</v>
      </c>
      <c r="AB47" s="10" t="s">
        <v>530</v>
      </c>
      <c r="AC47" s="25">
        <f>AA47/R$5</f>
        <v>0</v>
      </c>
      <c r="AD47" s="26" t="s">
        <v>531</v>
      </c>
    </row>
    <row r="48" spans="1:48" x14ac:dyDescent="0.25">
      <c r="C48" s="14"/>
      <c r="D48" s="14"/>
      <c r="E48" s="14"/>
      <c r="F48" s="14"/>
      <c r="G48" s="14"/>
      <c r="H48" s="16"/>
      <c r="I48" s="14"/>
      <c r="J48" s="14"/>
      <c r="K48" s="14"/>
      <c r="L48" s="14"/>
      <c r="M48" s="14"/>
      <c r="N48" s="14"/>
      <c r="O48" s="14"/>
      <c r="P48" s="14"/>
      <c r="Q48" s="14"/>
      <c r="R48" s="14"/>
      <c r="S48" s="94"/>
      <c r="T48" s="94"/>
      <c r="U48" s="14"/>
      <c r="V48" s="14"/>
      <c r="W48" s="14"/>
      <c r="Z48" s="117" t="s">
        <v>30</v>
      </c>
      <c r="AA48" s="25">
        <f>V25</f>
        <v>0</v>
      </c>
      <c r="AB48" s="10" t="s">
        <v>530</v>
      </c>
      <c r="AC48" s="9">
        <f>AA48/R$5</f>
        <v>0</v>
      </c>
      <c r="AD48" s="26" t="s">
        <v>531</v>
      </c>
    </row>
    <row r="49" spans="3:30" ht="15.75" thickBot="1" x14ac:dyDescent="0.3">
      <c r="C49" s="14"/>
      <c r="D49" s="14"/>
      <c r="E49" s="14"/>
      <c r="F49" s="14"/>
      <c r="G49" s="14"/>
      <c r="H49" s="16"/>
      <c r="I49" s="14"/>
      <c r="J49" s="14"/>
      <c r="K49" s="14"/>
      <c r="L49" s="14"/>
      <c r="M49" s="14"/>
      <c r="N49" s="14"/>
      <c r="O49" s="14"/>
      <c r="P49" s="14"/>
      <c r="Q49" s="14"/>
      <c r="R49" s="14"/>
      <c r="S49" s="94"/>
      <c r="T49" s="94"/>
      <c r="U49" s="14"/>
      <c r="V49" s="14"/>
      <c r="W49" s="14"/>
      <c r="Z49" s="116" t="s">
        <v>227</v>
      </c>
      <c r="AA49" s="72">
        <f>W25</f>
        <v>0</v>
      </c>
      <c r="AB49" s="10" t="s">
        <v>530</v>
      </c>
      <c r="AC49" s="9">
        <f>AA49/R$5</f>
        <v>0</v>
      </c>
      <c r="AD49" s="26" t="s">
        <v>531</v>
      </c>
    </row>
    <row r="50" spans="3:30" ht="15.75" thickBot="1" x14ac:dyDescent="0.3">
      <c r="C50" s="14"/>
      <c r="D50" s="14"/>
      <c r="E50" s="14"/>
      <c r="F50" s="14"/>
      <c r="G50" s="14"/>
      <c r="H50" s="16"/>
      <c r="I50" s="14"/>
      <c r="J50" s="14"/>
      <c r="K50" s="14"/>
      <c r="L50" s="14"/>
      <c r="M50" s="14"/>
      <c r="N50" s="14"/>
      <c r="O50" s="14"/>
      <c r="P50" s="14"/>
      <c r="Q50" s="14"/>
      <c r="R50" s="14"/>
      <c r="S50" s="94"/>
      <c r="T50" s="94"/>
      <c r="U50" s="14"/>
      <c r="V50" s="14"/>
      <c r="W50" s="14"/>
      <c r="Z50" s="125" t="s">
        <v>15</v>
      </c>
      <c r="AA50" s="104">
        <f>SUM(AA31:AA49)</f>
        <v>11365588</v>
      </c>
      <c r="AB50" s="255" t="s">
        <v>530</v>
      </c>
      <c r="AC50" s="104">
        <f>SUM(AC31:AC49)</f>
        <v>113655.88</v>
      </c>
      <c r="AD50" s="256" t="s">
        <v>531</v>
      </c>
    </row>
    <row r="51" spans="3:30" x14ac:dyDescent="0.25">
      <c r="C51" s="14"/>
      <c r="D51" s="14"/>
      <c r="E51" s="14"/>
      <c r="F51" s="14"/>
      <c r="G51" s="14"/>
      <c r="H51" s="16"/>
      <c r="I51" s="14"/>
      <c r="J51" s="14"/>
      <c r="K51" s="14"/>
      <c r="L51" s="14"/>
      <c r="M51" s="14"/>
      <c r="N51" s="14"/>
      <c r="O51" s="14"/>
      <c r="P51" s="14"/>
      <c r="Q51" s="14"/>
      <c r="R51" s="14"/>
      <c r="S51" s="94"/>
      <c r="T51" s="94"/>
      <c r="U51" s="14"/>
      <c r="V51" s="14"/>
      <c r="W51" s="14"/>
    </row>
    <row r="52" spans="3:30" x14ac:dyDescent="0.25">
      <c r="C52" s="14"/>
      <c r="D52" s="14"/>
      <c r="E52" s="14"/>
      <c r="F52" s="14"/>
      <c r="G52" s="14"/>
      <c r="H52" s="16"/>
      <c r="I52" s="14"/>
      <c r="J52" s="14"/>
      <c r="K52" s="14"/>
      <c r="L52" s="14"/>
      <c r="M52" s="14"/>
      <c r="N52" s="14"/>
      <c r="O52" s="14"/>
      <c r="P52" s="14"/>
      <c r="Q52" s="14"/>
      <c r="R52" s="14"/>
      <c r="S52" s="94"/>
      <c r="T52" s="94"/>
      <c r="U52" s="14"/>
      <c r="V52" s="14"/>
      <c r="W52" s="14"/>
    </row>
    <row r="53" spans="3:30" x14ac:dyDescent="0.25">
      <c r="C53" s="14"/>
      <c r="D53" s="14"/>
      <c r="E53" s="14"/>
      <c r="F53" s="14"/>
      <c r="G53" s="14"/>
      <c r="H53" s="16"/>
      <c r="I53" s="14"/>
      <c r="J53" s="14"/>
      <c r="K53" s="14"/>
      <c r="L53" s="14"/>
      <c r="M53" s="14"/>
      <c r="N53" s="14"/>
      <c r="O53" s="14"/>
      <c r="P53" s="14"/>
      <c r="Q53" s="14"/>
      <c r="R53" s="14"/>
      <c r="S53" s="94"/>
      <c r="T53" s="94"/>
      <c r="U53" s="14"/>
      <c r="V53" s="14"/>
      <c r="W53" s="14"/>
    </row>
    <row r="54" spans="3:30" x14ac:dyDescent="0.25">
      <c r="C54" s="14"/>
      <c r="D54" s="14"/>
      <c r="E54" s="14"/>
      <c r="F54" s="14"/>
      <c r="G54" s="14"/>
      <c r="H54" s="16"/>
      <c r="I54" s="14"/>
      <c r="J54" s="14"/>
      <c r="K54" s="14"/>
      <c r="L54" s="14"/>
      <c r="M54" s="14"/>
      <c r="N54" s="14"/>
      <c r="O54" s="14"/>
      <c r="P54" s="14"/>
      <c r="Q54" s="14"/>
      <c r="R54" s="14"/>
      <c r="S54" s="94"/>
      <c r="T54" s="94"/>
      <c r="U54" s="14"/>
      <c r="V54" s="14"/>
      <c r="W54" s="14"/>
    </row>
    <row r="55" spans="3:30" x14ac:dyDescent="0.25">
      <c r="C55" s="14"/>
      <c r="D55" s="14"/>
      <c r="E55" s="14"/>
      <c r="F55" s="14"/>
      <c r="G55" s="14"/>
      <c r="H55" s="16"/>
      <c r="I55" s="14"/>
      <c r="J55" s="14"/>
      <c r="K55" s="14"/>
      <c r="L55" s="14"/>
      <c r="M55" s="14"/>
      <c r="N55" s="14"/>
      <c r="O55" s="14"/>
      <c r="P55" s="14"/>
      <c r="Q55" s="14"/>
      <c r="R55" s="14"/>
      <c r="S55" s="94"/>
      <c r="T55" s="94"/>
      <c r="U55" s="14"/>
      <c r="V55" s="14"/>
      <c r="W55" s="14"/>
    </row>
    <row r="56" spans="3:30" x14ac:dyDescent="0.25">
      <c r="C56" s="14"/>
      <c r="D56" s="14"/>
      <c r="E56" s="14"/>
      <c r="F56" s="14"/>
      <c r="G56" s="14"/>
      <c r="H56" s="16"/>
      <c r="I56" s="14"/>
      <c r="J56" s="14"/>
      <c r="K56" s="14"/>
      <c r="L56" s="14"/>
      <c r="M56" s="14"/>
      <c r="N56" s="14"/>
      <c r="O56" s="14"/>
      <c r="P56" s="14"/>
      <c r="Q56" s="14"/>
      <c r="R56" s="14"/>
      <c r="S56" s="94"/>
      <c r="T56" s="94"/>
      <c r="U56" s="14"/>
      <c r="V56" s="14"/>
      <c r="W56" s="14"/>
    </row>
    <row r="57" spans="3:30" x14ac:dyDescent="0.25">
      <c r="C57" s="14"/>
      <c r="D57" s="14"/>
      <c r="E57" s="14"/>
      <c r="F57" s="14"/>
      <c r="G57" s="14"/>
      <c r="H57" s="16"/>
      <c r="I57" s="14"/>
      <c r="J57" s="14"/>
      <c r="K57" s="14"/>
      <c r="L57" s="14"/>
      <c r="M57" s="14"/>
      <c r="N57" s="14"/>
      <c r="O57" s="14"/>
      <c r="P57" s="14"/>
      <c r="Q57" s="14"/>
      <c r="R57" s="14"/>
      <c r="S57" s="94"/>
      <c r="T57" s="94"/>
      <c r="U57" s="14"/>
      <c r="V57" s="14"/>
      <c r="W57" s="14"/>
    </row>
    <row r="58" spans="3:30" x14ac:dyDescent="0.25">
      <c r="C58" s="14"/>
      <c r="D58" s="14"/>
      <c r="E58" s="14"/>
      <c r="F58" s="14"/>
      <c r="G58" s="14"/>
      <c r="H58" s="16"/>
      <c r="I58" s="14"/>
      <c r="J58" s="14"/>
      <c r="K58" s="14"/>
      <c r="L58" s="14"/>
      <c r="M58" s="14"/>
      <c r="N58" s="14"/>
      <c r="O58" s="14"/>
      <c r="P58" s="14"/>
      <c r="Q58" s="14"/>
      <c r="R58" s="14"/>
      <c r="S58" s="94"/>
      <c r="T58" s="94"/>
      <c r="U58" s="14"/>
      <c r="V58" s="14"/>
      <c r="W58" s="14"/>
    </row>
    <row r="59" spans="3:30" x14ac:dyDescent="0.25">
      <c r="C59" s="14"/>
      <c r="D59" s="14"/>
      <c r="E59" s="14"/>
      <c r="F59" s="14"/>
      <c r="G59" s="14"/>
      <c r="H59" s="16"/>
      <c r="I59" s="14"/>
      <c r="J59" s="14"/>
      <c r="K59" s="14"/>
      <c r="L59" s="14"/>
      <c r="M59" s="14"/>
      <c r="N59" s="14"/>
      <c r="O59" s="14"/>
      <c r="P59" s="14"/>
      <c r="Q59" s="14"/>
      <c r="R59" s="14"/>
      <c r="S59" s="94"/>
      <c r="T59" s="94"/>
      <c r="U59" s="14"/>
      <c r="V59" s="14"/>
      <c r="W59" s="14"/>
    </row>
    <row r="60" spans="3:30" x14ac:dyDescent="0.25">
      <c r="C60" s="14"/>
      <c r="D60" s="14"/>
      <c r="E60" s="14"/>
      <c r="F60" s="14"/>
      <c r="G60" s="14"/>
      <c r="H60" s="16"/>
      <c r="I60" s="14"/>
      <c r="J60" s="14"/>
      <c r="K60" s="14"/>
      <c r="L60" s="14"/>
      <c r="M60" s="14"/>
      <c r="N60" s="14"/>
      <c r="O60" s="14"/>
      <c r="P60" s="14"/>
      <c r="Q60" s="14"/>
      <c r="R60" s="14"/>
      <c r="S60" s="94"/>
      <c r="T60" s="94"/>
      <c r="U60" s="14"/>
      <c r="V60" s="14"/>
      <c r="W60" s="14"/>
    </row>
    <row r="61" spans="3:30" x14ac:dyDescent="0.25">
      <c r="C61" s="14"/>
      <c r="D61" s="14"/>
      <c r="E61" s="14"/>
      <c r="F61" s="14"/>
      <c r="G61" s="14"/>
      <c r="H61" s="16"/>
      <c r="I61" s="14"/>
      <c r="J61" s="14"/>
      <c r="K61" s="14"/>
      <c r="L61" s="14"/>
      <c r="M61" s="14"/>
      <c r="N61" s="14"/>
      <c r="O61" s="14"/>
      <c r="P61" s="14"/>
      <c r="Q61" s="14"/>
      <c r="R61" s="14"/>
      <c r="S61" s="94"/>
      <c r="T61" s="94"/>
      <c r="U61" s="14"/>
      <c r="V61" s="14"/>
      <c r="W61" s="14"/>
    </row>
    <row r="62" spans="3:30" x14ac:dyDescent="0.25">
      <c r="C62" s="14"/>
      <c r="D62" s="14"/>
      <c r="E62" s="14"/>
      <c r="F62" s="14"/>
      <c r="G62" s="14"/>
      <c r="H62" s="16"/>
      <c r="I62" s="14"/>
      <c r="J62" s="14"/>
      <c r="K62" s="14"/>
      <c r="L62" s="14"/>
      <c r="M62" s="14"/>
      <c r="N62" s="14"/>
      <c r="O62" s="14"/>
      <c r="P62" s="14"/>
      <c r="Q62" s="14"/>
      <c r="R62" s="14"/>
      <c r="S62" s="94"/>
      <c r="T62" s="94"/>
      <c r="U62" s="14"/>
      <c r="V62" s="14"/>
      <c r="W62" s="14"/>
    </row>
    <row r="63" spans="3:30" x14ac:dyDescent="0.25">
      <c r="C63" s="14"/>
      <c r="D63" s="14"/>
      <c r="E63" s="14"/>
      <c r="F63" s="14"/>
      <c r="G63" s="14"/>
      <c r="H63" s="16"/>
      <c r="I63" s="14"/>
      <c r="J63" s="14"/>
      <c r="K63" s="14"/>
      <c r="L63" s="14"/>
      <c r="M63" s="14"/>
      <c r="N63" s="14"/>
      <c r="O63" s="14"/>
      <c r="P63" s="14"/>
      <c r="Q63" s="14"/>
      <c r="R63" s="14"/>
      <c r="S63" s="94"/>
      <c r="T63" s="94"/>
      <c r="U63" s="14"/>
      <c r="V63" s="14"/>
      <c r="W63" s="14"/>
    </row>
    <row r="64" spans="3:30" x14ac:dyDescent="0.25">
      <c r="C64" s="14"/>
      <c r="D64" s="14"/>
      <c r="E64" s="14"/>
      <c r="F64" s="14"/>
      <c r="G64" s="14"/>
      <c r="H64" s="16"/>
      <c r="I64" s="14"/>
      <c r="J64" s="14"/>
      <c r="K64" s="14"/>
      <c r="L64" s="14"/>
      <c r="M64" s="14"/>
      <c r="N64" s="14"/>
      <c r="O64" s="14"/>
      <c r="P64" s="14"/>
      <c r="Q64" s="14"/>
      <c r="R64" s="14"/>
      <c r="S64" s="94"/>
      <c r="T64" s="94"/>
      <c r="U64" s="14"/>
      <c r="V64" s="14"/>
      <c r="W64" s="14"/>
    </row>
    <row r="65" spans="3:23" x14ac:dyDescent="0.25">
      <c r="C65" s="14"/>
      <c r="D65" s="14"/>
      <c r="E65" s="14"/>
      <c r="F65" s="14"/>
      <c r="G65" s="14"/>
      <c r="H65" s="16"/>
      <c r="I65" s="14"/>
      <c r="J65" s="14"/>
      <c r="K65" s="14"/>
      <c r="L65" s="14"/>
      <c r="M65" s="14"/>
      <c r="N65" s="14"/>
      <c r="O65" s="14"/>
      <c r="P65" s="14"/>
      <c r="Q65" s="14"/>
      <c r="R65" s="14"/>
      <c r="S65" s="94"/>
      <c r="T65" s="94"/>
      <c r="U65" s="14"/>
      <c r="V65" s="14"/>
      <c r="W65" s="14"/>
    </row>
    <row r="66" spans="3:23" x14ac:dyDescent="0.25">
      <c r="C66" s="14"/>
      <c r="D66" s="14"/>
      <c r="E66" s="14"/>
      <c r="F66" s="14"/>
      <c r="G66" s="14"/>
      <c r="H66" s="16"/>
      <c r="I66" s="14"/>
      <c r="J66" s="14"/>
      <c r="K66" s="14"/>
      <c r="L66" s="14"/>
      <c r="M66" s="14"/>
      <c r="N66" s="14"/>
      <c r="O66" s="14"/>
      <c r="P66" s="14"/>
      <c r="Q66" s="14"/>
      <c r="R66" s="14"/>
      <c r="S66" s="94"/>
      <c r="T66" s="94"/>
      <c r="U66" s="14"/>
      <c r="V66" s="14"/>
      <c r="W66" s="14"/>
    </row>
    <row r="67" spans="3:23" x14ac:dyDescent="0.25">
      <c r="C67" s="14"/>
      <c r="D67" s="14"/>
      <c r="E67" s="14"/>
      <c r="F67" s="14"/>
      <c r="G67" s="14"/>
      <c r="H67" s="16"/>
      <c r="I67" s="14"/>
      <c r="J67" s="14"/>
      <c r="K67" s="14"/>
      <c r="L67" s="14"/>
      <c r="M67" s="14"/>
      <c r="N67" s="14"/>
      <c r="O67" s="14"/>
      <c r="P67" s="14"/>
      <c r="Q67" s="14"/>
      <c r="R67" s="14"/>
      <c r="S67" s="94"/>
      <c r="T67" s="94"/>
      <c r="U67" s="14"/>
      <c r="V67" s="14"/>
      <c r="W67" s="14"/>
    </row>
    <row r="68" spans="3:23" x14ac:dyDescent="0.25">
      <c r="C68" s="14"/>
      <c r="D68" s="14"/>
      <c r="E68" s="14"/>
      <c r="F68" s="14"/>
      <c r="G68" s="14"/>
      <c r="H68" s="16"/>
      <c r="I68" s="14"/>
      <c r="J68" s="14"/>
      <c r="K68" s="14"/>
      <c r="L68" s="14"/>
      <c r="M68" s="14"/>
      <c r="N68" s="14"/>
      <c r="O68" s="14"/>
      <c r="P68" s="14"/>
      <c r="Q68" s="14"/>
      <c r="R68" s="14"/>
      <c r="S68" s="94"/>
      <c r="T68" s="94"/>
      <c r="U68" s="14"/>
      <c r="V68" s="14"/>
      <c r="W68" s="14"/>
    </row>
    <row r="69" spans="3:23" x14ac:dyDescent="0.25">
      <c r="C69" s="14"/>
      <c r="D69" s="14"/>
      <c r="E69" s="14"/>
      <c r="F69" s="14"/>
      <c r="G69" s="14"/>
      <c r="H69" s="16"/>
      <c r="I69" s="14"/>
      <c r="J69" s="14"/>
      <c r="K69" s="14"/>
      <c r="L69" s="14"/>
      <c r="M69" s="14"/>
      <c r="N69" s="14"/>
      <c r="O69" s="14"/>
      <c r="P69" s="14"/>
      <c r="Q69" s="14"/>
      <c r="R69" s="14"/>
      <c r="S69" s="94"/>
      <c r="T69" s="94"/>
      <c r="U69" s="14"/>
      <c r="V69" s="14"/>
      <c r="W69" s="14"/>
    </row>
    <row r="70" spans="3:23" x14ac:dyDescent="0.25">
      <c r="C70" s="14"/>
      <c r="D70" s="14"/>
      <c r="E70" s="14"/>
      <c r="F70" s="14"/>
      <c r="G70" s="14"/>
      <c r="H70" s="16"/>
      <c r="I70" s="14"/>
      <c r="J70" s="14"/>
      <c r="K70" s="14"/>
      <c r="L70" s="14"/>
      <c r="M70" s="14"/>
      <c r="N70" s="14"/>
      <c r="O70" s="14"/>
      <c r="P70" s="14"/>
      <c r="Q70" s="14"/>
      <c r="R70" s="14"/>
      <c r="S70" s="94"/>
      <c r="T70" s="94"/>
      <c r="U70" s="14"/>
      <c r="V70" s="14"/>
      <c r="W70" s="14"/>
    </row>
    <row r="71" spans="3:23" x14ac:dyDescent="0.25">
      <c r="C71" s="14"/>
      <c r="D71" s="14"/>
      <c r="E71" s="14"/>
      <c r="F71" s="14"/>
      <c r="G71" s="14"/>
      <c r="H71" s="16"/>
      <c r="I71" s="14"/>
      <c r="J71" s="14"/>
      <c r="K71" s="14"/>
      <c r="L71" s="14"/>
      <c r="M71" s="14"/>
      <c r="N71" s="14"/>
      <c r="O71" s="14"/>
      <c r="P71" s="14"/>
      <c r="Q71" s="14"/>
      <c r="R71" s="14"/>
      <c r="S71" s="94"/>
      <c r="T71" s="94"/>
      <c r="U71" s="14"/>
      <c r="V71" s="14"/>
      <c r="W71" s="14"/>
    </row>
    <row r="72" spans="3:23" x14ac:dyDescent="0.25">
      <c r="C72" s="14"/>
      <c r="D72" s="14"/>
      <c r="E72" s="14"/>
      <c r="F72" s="14"/>
      <c r="G72" s="14"/>
      <c r="H72" s="16"/>
      <c r="I72" s="14"/>
      <c r="J72" s="14"/>
      <c r="K72" s="14"/>
      <c r="L72" s="14"/>
      <c r="M72" s="14"/>
      <c r="N72" s="14"/>
      <c r="O72" s="14"/>
      <c r="P72" s="14"/>
      <c r="Q72" s="14"/>
      <c r="R72" s="14"/>
      <c r="S72" s="94"/>
      <c r="T72" s="94"/>
      <c r="U72" s="14"/>
      <c r="V72" s="14"/>
      <c r="W72" s="14"/>
    </row>
    <row r="73" spans="3:23" x14ac:dyDescent="0.25">
      <c r="C73" s="14"/>
      <c r="D73" s="14"/>
      <c r="E73" s="14"/>
      <c r="F73" s="14"/>
      <c r="G73" s="14"/>
      <c r="H73" s="16"/>
      <c r="I73" s="14"/>
      <c r="J73" s="14"/>
      <c r="K73" s="14"/>
      <c r="L73" s="14"/>
      <c r="M73" s="14"/>
      <c r="N73" s="14"/>
      <c r="O73" s="14"/>
      <c r="P73" s="14"/>
      <c r="Q73" s="14"/>
      <c r="R73" s="14"/>
      <c r="S73" s="94"/>
      <c r="T73" s="94"/>
      <c r="U73" s="14"/>
      <c r="V73" s="14"/>
      <c r="W73" s="14"/>
    </row>
    <row r="74" spans="3:23" x14ac:dyDescent="0.25">
      <c r="C74" s="14"/>
      <c r="D74" s="14"/>
      <c r="E74" s="14"/>
      <c r="F74" s="14"/>
      <c r="G74" s="14"/>
      <c r="H74" s="16"/>
      <c r="I74" s="14"/>
      <c r="J74" s="14"/>
      <c r="K74" s="14"/>
      <c r="L74" s="14"/>
      <c r="M74" s="14"/>
      <c r="N74" s="14"/>
      <c r="O74" s="14"/>
      <c r="P74" s="14"/>
      <c r="Q74" s="14"/>
      <c r="R74" s="14"/>
      <c r="S74" s="94"/>
      <c r="T74" s="94"/>
      <c r="U74" s="14"/>
      <c r="V74" s="14"/>
      <c r="W74" s="14"/>
    </row>
    <row r="75" spans="3:23" x14ac:dyDescent="0.25">
      <c r="C75" s="14"/>
      <c r="D75" s="14"/>
      <c r="E75" s="14"/>
      <c r="F75" s="14"/>
      <c r="G75" s="14"/>
      <c r="H75" s="16"/>
      <c r="I75" s="14"/>
      <c r="J75" s="14"/>
      <c r="K75" s="14"/>
      <c r="L75" s="14"/>
      <c r="M75" s="14"/>
      <c r="N75" s="14"/>
      <c r="O75" s="14"/>
      <c r="P75" s="14"/>
      <c r="Q75" s="14"/>
      <c r="R75" s="14"/>
      <c r="S75" s="94"/>
      <c r="T75" s="94"/>
      <c r="U75" s="14"/>
      <c r="V75" s="14"/>
      <c r="W75" s="14"/>
    </row>
    <row r="76" spans="3:23" x14ac:dyDescent="0.25">
      <c r="C76" s="14"/>
      <c r="D76" s="14"/>
      <c r="E76" s="14"/>
      <c r="F76" s="14"/>
      <c r="G76" s="14"/>
      <c r="H76" s="16"/>
      <c r="I76" s="14"/>
      <c r="J76" s="14"/>
      <c r="K76" s="14"/>
      <c r="L76" s="14"/>
      <c r="M76" s="14"/>
      <c r="N76" s="14"/>
      <c r="O76" s="14"/>
      <c r="P76" s="14"/>
      <c r="Q76" s="14"/>
      <c r="R76" s="14"/>
      <c r="S76" s="94"/>
      <c r="T76" s="94"/>
      <c r="U76" s="14"/>
      <c r="V76" s="14"/>
      <c r="W76" s="14"/>
    </row>
    <row r="77" spans="3:23" x14ac:dyDescent="0.25">
      <c r="C77" s="14"/>
      <c r="D77" s="14"/>
      <c r="E77" s="14"/>
      <c r="F77" s="14"/>
      <c r="G77" s="14"/>
      <c r="H77" s="16"/>
      <c r="I77" s="14"/>
      <c r="J77" s="14"/>
      <c r="K77" s="14"/>
      <c r="L77" s="14"/>
      <c r="M77" s="14"/>
      <c r="N77" s="14"/>
      <c r="O77" s="14"/>
      <c r="P77" s="14"/>
      <c r="Q77" s="14"/>
      <c r="R77" s="14"/>
      <c r="S77" s="94"/>
      <c r="T77" s="94"/>
      <c r="U77" s="14"/>
      <c r="V77" s="14"/>
      <c r="W77" s="14"/>
    </row>
    <row r="78" spans="3:23" x14ac:dyDescent="0.25">
      <c r="C78" s="14"/>
      <c r="D78" s="14"/>
      <c r="E78" s="14"/>
      <c r="F78" s="14"/>
      <c r="G78" s="14"/>
      <c r="H78" s="16"/>
      <c r="I78" s="14"/>
      <c r="J78" s="14"/>
      <c r="K78" s="14"/>
      <c r="L78" s="14"/>
      <c r="M78" s="14"/>
      <c r="N78" s="14"/>
      <c r="O78" s="14"/>
      <c r="P78" s="14"/>
      <c r="Q78" s="14"/>
      <c r="R78" s="14"/>
      <c r="S78" s="94"/>
      <c r="T78" s="94"/>
      <c r="U78" s="14"/>
      <c r="V78" s="14"/>
      <c r="W78" s="14"/>
    </row>
    <row r="79" spans="3:23" x14ac:dyDescent="0.25">
      <c r="C79" s="14"/>
      <c r="D79" s="14"/>
      <c r="E79" s="14"/>
      <c r="F79" s="14"/>
      <c r="G79" s="14"/>
      <c r="H79" s="16"/>
      <c r="I79" s="14"/>
      <c r="J79" s="14"/>
      <c r="K79" s="14"/>
      <c r="L79" s="14"/>
      <c r="M79" s="14"/>
      <c r="N79" s="14"/>
      <c r="O79" s="14"/>
      <c r="P79" s="14"/>
      <c r="Q79" s="14"/>
      <c r="R79" s="14"/>
      <c r="S79" s="94"/>
      <c r="T79" s="94"/>
      <c r="U79" s="14"/>
      <c r="V79" s="14"/>
      <c r="W79" s="14"/>
    </row>
    <row r="80" spans="3:23" x14ac:dyDescent="0.25">
      <c r="C80" s="14"/>
      <c r="D80" s="14"/>
      <c r="E80" s="14"/>
      <c r="F80" s="14"/>
      <c r="G80" s="14"/>
      <c r="H80" s="14"/>
      <c r="I80" s="14"/>
      <c r="J80" s="14"/>
      <c r="K80" s="14"/>
      <c r="L80" s="14"/>
      <c r="M80" s="14"/>
      <c r="N80" s="14"/>
      <c r="O80" s="14"/>
      <c r="P80" s="14"/>
      <c r="Q80" s="14"/>
      <c r="R80" s="14"/>
      <c r="S80" s="94"/>
      <c r="T80" s="94"/>
      <c r="U80" s="14"/>
      <c r="V80" s="14"/>
      <c r="W80" s="14"/>
    </row>
    <row r="81" spans="1:80" x14ac:dyDescent="0.25">
      <c r="C81" s="14"/>
      <c r="D81" s="14"/>
      <c r="E81" s="14"/>
      <c r="F81" s="14"/>
      <c r="G81" s="14"/>
      <c r="H81" s="14"/>
      <c r="I81" s="14"/>
      <c r="J81" s="14"/>
      <c r="K81" s="14"/>
      <c r="L81" s="14"/>
      <c r="M81" s="14"/>
      <c r="N81" s="14"/>
      <c r="O81" s="14"/>
      <c r="P81" s="14"/>
      <c r="Q81" s="14"/>
      <c r="R81" s="14"/>
      <c r="S81" s="94"/>
      <c r="T81" s="94"/>
      <c r="U81" s="14"/>
      <c r="V81" s="14"/>
      <c r="W81" s="14"/>
    </row>
    <row r="82" spans="1:80" x14ac:dyDescent="0.25">
      <c r="A82" s="52"/>
      <c r="B82" s="52"/>
      <c r="C82" s="224"/>
      <c r="D82" s="224"/>
      <c r="E82" s="224"/>
      <c r="F82" s="224"/>
      <c r="G82" s="224"/>
      <c r="H82" s="224"/>
      <c r="I82" s="224"/>
      <c r="J82" s="224"/>
      <c r="K82" s="224"/>
      <c r="L82" s="224"/>
      <c r="M82" s="224"/>
      <c r="N82" s="224"/>
      <c r="O82" s="224"/>
      <c r="P82" s="224"/>
      <c r="Q82" s="224"/>
      <c r="R82" s="224"/>
      <c r="S82" s="224"/>
      <c r="T82" s="224"/>
      <c r="U82" s="224"/>
      <c r="V82" s="224"/>
      <c r="W82" s="224"/>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row>
    <row r="83" spans="1:80" ht="23.25" x14ac:dyDescent="0.35">
      <c r="A83" s="159" t="s">
        <v>362</v>
      </c>
      <c r="C83" s="14"/>
      <c r="D83" s="14"/>
      <c r="E83" s="14"/>
      <c r="F83" s="14"/>
      <c r="G83" s="14"/>
      <c r="H83" s="14"/>
      <c r="I83" s="14"/>
      <c r="J83" s="14"/>
      <c r="K83" s="14"/>
      <c r="L83" s="14"/>
      <c r="M83" s="14"/>
      <c r="N83" s="14"/>
      <c r="O83" s="14"/>
      <c r="P83" s="14"/>
      <c r="Q83" s="14"/>
      <c r="R83" s="14"/>
      <c r="S83" s="94"/>
      <c r="T83" s="94"/>
      <c r="U83" s="14"/>
      <c r="V83" s="14"/>
      <c r="W83" s="14"/>
    </row>
    <row r="84" spans="1:80" x14ac:dyDescent="0.25">
      <c r="A84" s="97"/>
      <c r="B84" s="10"/>
      <c r="C84" s="16"/>
      <c r="D84" s="16"/>
      <c r="E84" s="16"/>
      <c r="F84" s="16"/>
      <c r="G84" s="16"/>
      <c r="H84" s="16"/>
      <c r="I84" s="16"/>
      <c r="J84" s="16"/>
      <c r="K84" s="16"/>
      <c r="L84" s="16"/>
      <c r="M84" s="16"/>
      <c r="N84" s="16"/>
      <c r="O84" s="16"/>
      <c r="P84" s="14"/>
      <c r="Q84" s="16"/>
      <c r="R84" s="16"/>
      <c r="S84" s="44"/>
      <c r="T84" s="44"/>
      <c r="U84" s="16"/>
      <c r="V84" s="16"/>
      <c r="W84" s="16"/>
      <c r="X84" s="10"/>
    </row>
    <row r="85" spans="1:80" ht="19.5" thickBot="1" x14ac:dyDescent="0.35">
      <c r="A85" s="10"/>
      <c r="B85" s="10"/>
      <c r="C85" s="16"/>
      <c r="D85" s="16"/>
      <c r="E85" s="16"/>
      <c r="F85" s="16"/>
      <c r="G85" s="16"/>
      <c r="H85" s="16"/>
      <c r="I85" s="16"/>
      <c r="J85" s="16"/>
      <c r="K85" s="16"/>
      <c r="L85" s="16"/>
      <c r="M85" s="16"/>
      <c r="N85" s="16"/>
      <c r="O85" s="16"/>
      <c r="P85" s="14"/>
      <c r="Q85" s="16"/>
      <c r="R85" s="432" t="s">
        <v>476</v>
      </c>
      <c r="S85" s="432"/>
      <c r="T85" s="432"/>
      <c r="U85" s="432"/>
      <c r="V85" s="14"/>
      <c r="W85" s="234" t="s">
        <v>15</v>
      </c>
      <c r="X85" s="13"/>
      <c r="Y85" s="10"/>
      <c r="AW85" s="1" t="s">
        <v>461</v>
      </c>
    </row>
    <row r="86" spans="1:80" x14ac:dyDescent="0.25">
      <c r="A86" s="87" t="s">
        <v>90</v>
      </c>
      <c r="B86" s="134" t="s">
        <v>1022</v>
      </c>
      <c r="C86" s="239" t="s">
        <v>24</v>
      </c>
      <c r="D86" s="235" t="s">
        <v>25</v>
      </c>
      <c r="E86" s="235" t="s">
        <v>356</v>
      </c>
      <c r="F86" s="235" t="s">
        <v>112</v>
      </c>
      <c r="G86" s="235" t="s">
        <v>473</v>
      </c>
      <c r="H86" s="235" t="s">
        <v>357</v>
      </c>
      <c r="I86" s="235" t="s">
        <v>119</v>
      </c>
      <c r="J86" s="235" t="s">
        <v>94</v>
      </c>
      <c r="K86" s="235" t="s">
        <v>137</v>
      </c>
      <c r="L86" s="235" t="s">
        <v>322</v>
      </c>
      <c r="M86" s="235" t="s">
        <v>169</v>
      </c>
      <c r="N86" s="235" t="s">
        <v>32</v>
      </c>
      <c r="O86" s="235" t="s">
        <v>19</v>
      </c>
      <c r="P86" s="127" t="s">
        <v>566</v>
      </c>
      <c r="Q86" s="18" t="s">
        <v>463</v>
      </c>
      <c r="R86" s="225" t="s">
        <v>340</v>
      </c>
      <c r="S86" s="128" t="s">
        <v>186</v>
      </c>
      <c r="T86" s="128" t="s">
        <v>30</v>
      </c>
      <c r="U86" s="18" t="s">
        <v>227</v>
      </c>
      <c r="V86" s="46"/>
      <c r="W86" s="155" t="s">
        <v>256</v>
      </c>
      <c r="X86" s="9">
        <f>B98/(R5)</f>
        <v>2536.8780890770572</v>
      </c>
      <c r="Y86" s="10" t="s">
        <v>525</v>
      </c>
      <c r="AW86" s="17"/>
      <c r="AX86" s="239" t="s">
        <v>86</v>
      </c>
      <c r="AY86" s="235" t="s">
        <v>107</v>
      </c>
      <c r="AZ86" s="235" t="s">
        <v>108</v>
      </c>
      <c r="BA86" s="235" t="s">
        <v>8</v>
      </c>
      <c r="BB86" s="235" t="s">
        <v>111</v>
      </c>
      <c r="BC86" s="235" t="s">
        <v>2</v>
      </c>
      <c r="BD86" s="235" t="s">
        <v>109</v>
      </c>
      <c r="BE86" s="127" t="s">
        <v>363</v>
      </c>
      <c r="BF86" s="235" t="s">
        <v>88</v>
      </c>
      <c r="BG86" s="128" t="s">
        <v>462</v>
      </c>
      <c r="BH86" s="127" t="s">
        <v>406</v>
      </c>
      <c r="BI86" s="127" t="s">
        <v>471</v>
      </c>
      <c r="BJ86" s="127" t="s">
        <v>472</v>
      </c>
      <c r="BK86" s="127" t="s">
        <v>356</v>
      </c>
      <c r="BL86" s="235" t="s">
        <v>112</v>
      </c>
      <c r="BM86" s="240" t="s">
        <v>473</v>
      </c>
      <c r="BN86" s="235" t="s">
        <v>113</v>
      </c>
      <c r="BO86" s="235" t="s">
        <v>119</v>
      </c>
      <c r="BP86" s="235" t="s">
        <v>94</v>
      </c>
      <c r="BQ86" s="235" t="s">
        <v>137</v>
      </c>
      <c r="BR86" s="235" t="s">
        <v>322</v>
      </c>
      <c r="BS86" s="235" t="s">
        <v>169</v>
      </c>
      <c r="BT86" s="235" t="s">
        <v>32</v>
      </c>
      <c r="BU86" s="235" t="s">
        <v>19</v>
      </c>
      <c r="BV86" s="240" t="s">
        <v>566</v>
      </c>
      <c r="BW86" s="127" t="s">
        <v>463</v>
      </c>
      <c r="BX86" s="235" t="s">
        <v>340</v>
      </c>
      <c r="BY86" s="240" t="s">
        <v>186</v>
      </c>
      <c r="BZ86" s="235" t="s">
        <v>30</v>
      </c>
      <c r="CA86" s="235" t="s">
        <v>227</v>
      </c>
      <c r="CB86" s="241"/>
    </row>
    <row r="87" spans="1:80" x14ac:dyDescent="0.25">
      <c r="A87" s="48" t="s">
        <v>86</v>
      </c>
      <c r="B87" s="208">
        <f>IF(SUM(C87:Q87)-(AgInputs!B850*L5*L7*1000+AgInputs!B848*J5+AgInputs!B849*I5)*(GHG!B9)&lt;0,0,SUM(C87:Q87)-(AgInputs!B850*L5*L7*1000+AgInputs!B848*J5+AgInputs!B849*I5)*(GHG!B9))</f>
        <v>56848.549333333343</v>
      </c>
      <c r="C87" s="237">
        <f>C10*C5*GHG!$B9</f>
        <v>0</v>
      </c>
      <c r="D87" s="79">
        <f>D10*D5*GHG!$B9</f>
        <v>56848.549333333343</v>
      </c>
      <c r="E87" s="79">
        <f>E10*E5*GHG!$B9</f>
        <v>0</v>
      </c>
      <c r="F87" s="79">
        <f>F10*F5*GHG!$B9</f>
        <v>0</v>
      </c>
      <c r="G87" s="79">
        <f>G10*G5*GHG!$B9</f>
        <v>0</v>
      </c>
      <c r="H87" s="79">
        <f>H10*H5*GHG!$B9</f>
        <v>0</v>
      </c>
      <c r="I87" s="79">
        <f>I10*I5*GHG!$B9</f>
        <v>0</v>
      </c>
      <c r="J87" s="79">
        <f>J10*J5*GHG!$B9</f>
        <v>0</v>
      </c>
      <c r="K87" s="79">
        <f>K10*K5*GHG!$B9</f>
        <v>0</v>
      </c>
      <c r="L87" s="79">
        <f>L10*L5*GHG!$B9</f>
        <v>0</v>
      </c>
      <c r="M87" s="79">
        <f>M10*M5*GHG!$B9</f>
        <v>0</v>
      </c>
      <c r="N87" s="79">
        <f>N10*N5*GHG!$B9</f>
        <v>0</v>
      </c>
      <c r="O87" s="79">
        <f>O10*O5*GHG!$B9</f>
        <v>0</v>
      </c>
      <c r="P87" s="79">
        <f>P10*P5*GHG!$B9</f>
        <v>0</v>
      </c>
      <c r="Q87" s="236">
        <f>Q10*Q5*GHG!$B9</f>
        <v>0</v>
      </c>
      <c r="R87" s="237">
        <v>0</v>
      </c>
      <c r="S87" s="44">
        <v>0</v>
      </c>
      <c r="T87" s="44">
        <v>0</v>
      </c>
      <c r="U87" s="47">
        <v>0</v>
      </c>
      <c r="V87" s="46"/>
      <c r="W87" s="423"/>
      <c r="X87" s="10"/>
      <c r="Y87" s="10"/>
      <c r="AW87" s="19" t="s">
        <v>354</v>
      </c>
      <c r="AX87" s="242">
        <f>B87/(R5)</f>
        <v>568.48549333333347</v>
      </c>
      <c r="AY87" s="41">
        <f>B88/(R5)</f>
        <v>51.199274000000003</v>
      </c>
      <c r="AZ87" s="41">
        <f>B89/(R5)</f>
        <v>18.117340079999998</v>
      </c>
      <c r="BA87" s="41">
        <f>B90/(R5)</f>
        <v>226.82877912500001</v>
      </c>
      <c r="BB87" s="41">
        <f>B91/(R5)</f>
        <v>79.891589999999994</v>
      </c>
      <c r="BC87" s="41">
        <f>B92/(R5)</f>
        <v>52.972157500000002</v>
      </c>
      <c r="BD87" s="41">
        <f>B93/(R5)</f>
        <v>21.489000000000001</v>
      </c>
      <c r="BE87" s="41">
        <f>B94/(R5)</f>
        <v>226.67924028571426</v>
      </c>
      <c r="BF87" s="41">
        <f>B96/(R5)</f>
        <v>102.09792000000004</v>
      </c>
      <c r="BG87" s="41">
        <f>B95/(R5)</f>
        <v>45.168970238095241</v>
      </c>
      <c r="BH87" s="41">
        <f>B97/(R5)</f>
        <v>1143.9483245149145</v>
      </c>
      <c r="BI87" s="41">
        <v>0</v>
      </c>
      <c r="BJ87" s="41">
        <v>0</v>
      </c>
      <c r="BK87" s="41">
        <v>0</v>
      </c>
      <c r="BL87" s="41">
        <v>0</v>
      </c>
      <c r="BM87" s="44">
        <v>0</v>
      </c>
      <c r="BN87" s="41">
        <v>0</v>
      </c>
      <c r="BO87" s="41">
        <v>0</v>
      </c>
      <c r="BP87" s="41">
        <v>0</v>
      </c>
      <c r="BQ87" s="41">
        <v>0</v>
      </c>
      <c r="BR87" s="41">
        <v>0</v>
      </c>
      <c r="BS87" s="41">
        <v>0</v>
      </c>
      <c r="BT87" s="41">
        <v>0</v>
      </c>
      <c r="BU87" s="41">
        <v>0</v>
      </c>
      <c r="BV87" s="44">
        <v>0</v>
      </c>
      <c r="BW87" s="41">
        <v>0</v>
      </c>
      <c r="BX87" s="41">
        <v>0</v>
      </c>
      <c r="BY87" s="44">
        <v>0</v>
      </c>
      <c r="BZ87" s="41">
        <v>0</v>
      </c>
      <c r="CA87" s="41">
        <v>0</v>
      </c>
      <c r="CB87" s="88"/>
    </row>
    <row r="88" spans="1:80" x14ac:dyDescent="0.25">
      <c r="A88" s="48" t="s">
        <v>107</v>
      </c>
      <c r="B88" s="95">
        <f>SUM(C88:Q88)</f>
        <v>5119.9274000000005</v>
      </c>
      <c r="C88" s="237">
        <f>C11*C5*GHG!$B28</f>
        <v>0</v>
      </c>
      <c r="D88" s="79">
        <f>D11*D5*GHG!$B28</f>
        <v>5119.9274000000005</v>
      </c>
      <c r="E88" s="79">
        <f>E11*E5*GHG!$B28</f>
        <v>0</v>
      </c>
      <c r="F88" s="79">
        <f>F11*F5*GHG!$B28</f>
        <v>0</v>
      </c>
      <c r="G88" s="79">
        <f>G11*G5*GHG!$B28</f>
        <v>0</v>
      </c>
      <c r="H88" s="79">
        <f>H11*H5*GHG!$B28</f>
        <v>0</v>
      </c>
      <c r="I88" s="79">
        <f>I11*I5*GHG!$B28</f>
        <v>0</v>
      </c>
      <c r="J88" s="79">
        <f>J11*J5*GHG!$B28</f>
        <v>0</v>
      </c>
      <c r="K88" s="79">
        <f>K11*K5*GHG!$B28</f>
        <v>0</v>
      </c>
      <c r="L88" s="79">
        <f>L11*L5*GHG!$B28</f>
        <v>0</v>
      </c>
      <c r="M88" s="79">
        <f>M11*M5*GHG!$B28</f>
        <v>0</v>
      </c>
      <c r="N88" s="79">
        <f>N11*N5*GHG!$B28</f>
        <v>0</v>
      </c>
      <c r="O88" s="79">
        <f>O11*O5*GHG!$B28</f>
        <v>0</v>
      </c>
      <c r="P88" s="79">
        <f>P11*P5*GHG!$B28</f>
        <v>0</v>
      </c>
      <c r="Q88" s="236">
        <f>Q11*Q5*GHG!$B28</f>
        <v>0</v>
      </c>
      <c r="R88" s="237">
        <v>0</v>
      </c>
      <c r="S88" s="44">
        <v>0</v>
      </c>
      <c r="T88" s="44">
        <v>0</v>
      </c>
      <c r="U88" s="47">
        <v>0</v>
      </c>
      <c r="V88" s="46"/>
      <c r="W88" s="10"/>
      <c r="X88" s="10"/>
      <c r="Y88" s="10"/>
      <c r="AW88" s="19"/>
      <c r="AX88" s="242"/>
      <c r="AY88" s="41"/>
      <c r="AZ88" s="41"/>
      <c r="BA88" s="222"/>
      <c r="BB88" s="222"/>
      <c r="BC88" s="222"/>
      <c r="BD88" s="222"/>
      <c r="BE88" s="222"/>
      <c r="BF88" s="222"/>
      <c r="BG88" s="222"/>
      <c r="BH88" s="222"/>
      <c r="BI88" s="41"/>
      <c r="BJ88" s="41"/>
      <c r="BK88" s="41"/>
      <c r="BL88" s="41"/>
      <c r="BM88" s="44"/>
      <c r="BN88" s="41"/>
      <c r="BO88" s="41"/>
      <c r="BP88" s="41"/>
      <c r="BQ88" s="41"/>
      <c r="BR88" s="41"/>
      <c r="BS88" s="41"/>
      <c r="BT88" s="41"/>
      <c r="BU88" s="41"/>
      <c r="BV88" s="222"/>
      <c r="BW88" s="41"/>
      <c r="BX88" s="41"/>
      <c r="BY88" s="222"/>
      <c r="BZ88" s="41"/>
      <c r="CA88" s="41"/>
      <c r="CB88" s="88"/>
    </row>
    <row r="89" spans="1:80" ht="15.75" thickBot="1" x14ac:dyDescent="0.3">
      <c r="A89" s="48" t="s">
        <v>108</v>
      </c>
      <c r="B89" s="95">
        <f t="shared" ref="B89:B97" si="8">SUM(C89:Q89)</f>
        <v>1811.7340079999999</v>
      </c>
      <c r="C89" s="237">
        <f>C12*C5*GHG!$B38</f>
        <v>0</v>
      </c>
      <c r="D89" s="79">
        <f>D12*D5*GHG!$B38</f>
        <v>1811.7340079999999</v>
      </c>
      <c r="E89" s="79">
        <f>E12*E5*GHG!$B38</f>
        <v>0</v>
      </c>
      <c r="F89" s="79">
        <f>F12*F5*GHG!$B38</f>
        <v>0</v>
      </c>
      <c r="G89" s="79">
        <f>G12*G5*GHG!$B38</f>
        <v>0</v>
      </c>
      <c r="H89" s="79">
        <f>H12*H5*GHG!$B38</f>
        <v>0</v>
      </c>
      <c r="I89" s="79">
        <f>I12*I5*GHG!$B38</f>
        <v>0</v>
      </c>
      <c r="J89" s="79">
        <f>J12*J5*GHG!$B38</f>
        <v>0</v>
      </c>
      <c r="K89" s="79">
        <f>K12*K5*GHG!$B38</f>
        <v>0</v>
      </c>
      <c r="L89" s="79">
        <f>L12*L5*GHG!$B38</f>
        <v>0</v>
      </c>
      <c r="M89" s="79">
        <f>M12*M5*GHG!$B38</f>
        <v>0</v>
      </c>
      <c r="N89" s="79">
        <f>N12*N5*GHG!$B38</f>
        <v>0</v>
      </c>
      <c r="O89" s="79">
        <f>O12*O5*GHG!$B38</f>
        <v>0</v>
      </c>
      <c r="P89" s="79">
        <f>P12*P5*GHG!$B38</f>
        <v>0</v>
      </c>
      <c r="Q89" s="236">
        <f>Q12*Q5*GHG!$B38</f>
        <v>0</v>
      </c>
      <c r="R89" s="237">
        <v>0</v>
      </c>
      <c r="S89" s="44">
        <v>0</v>
      </c>
      <c r="T89" s="44">
        <v>0</v>
      </c>
      <c r="U89" s="47">
        <v>0</v>
      </c>
      <c r="V89" s="46"/>
      <c r="W89" s="155"/>
      <c r="X89" s="12"/>
      <c r="Y89" s="10"/>
      <c r="AW89" s="27"/>
      <c r="AX89" s="243"/>
      <c r="AY89" s="42"/>
      <c r="AZ89" s="42"/>
      <c r="BA89" s="42"/>
      <c r="BB89" s="42"/>
      <c r="BC89" s="42"/>
      <c r="BD89" s="42"/>
      <c r="BE89" s="42"/>
      <c r="BF89" s="42"/>
      <c r="BG89" s="42"/>
      <c r="BH89" s="42"/>
      <c r="BI89" s="42"/>
      <c r="BJ89" s="42"/>
      <c r="BK89" s="42"/>
      <c r="BL89" s="42"/>
      <c r="BM89" s="45"/>
      <c r="BN89" s="42"/>
      <c r="BO89" s="42"/>
      <c r="BP89" s="42"/>
      <c r="BQ89" s="42"/>
      <c r="BR89" s="42"/>
      <c r="BS89" s="42"/>
      <c r="BT89" s="42"/>
      <c r="BU89" s="42"/>
      <c r="BV89" s="45"/>
      <c r="BW89" s="42"/>
      <c r="BX89" s="42"/>
      <c r="BY89" s="45"/>
      <c r="BZ89" s="42"/>
      <c r="CA89" s="42"/>
      <c r="CB89" s="244"/>
    </row>
    <row r="90" spans="1:80" x14ac:dyDescent="0.25">
      <c r="A90" s="48" t="s">
        <v>8</v>
      </c>
      <c r="B90" s="95">
        <f t="shared" si="8"/>
        <v>22682.8779125</v>
      </c>
      <c r="C90" s="237">
        <f>C5*C13*(GHG!$B48)</f>
        <v>0</v>
      </c>
      <c r="D90" s="79">
        <f>D5*D13*(GHG!$B48)</f>
        <v>22682.8779125</v>
      </c>
      <c r="E90" s="79">
        <f>E5*E13*(GHG!$B48)</f>
        <v>0</v>
      </c>
      <c r="F90" s="79">
        <f>F5*F13*(GHG!$B48)</f>
        <v>0</v>
      </c>
      <c r="G90" s="79">
        <f>G5*G13*(GHG!$B48)</f>
        <v>0</v>
      </c>
      <c r="H90" s="79">
        <f>H5*H13*(GHG!$B48)</f>
        <v>0</v>
      </c>
      <c r="I90" s="79">
        <f>I5*I13*(GHG!$B48)</f>
        <v>0</v>
      </c>
      <c r="J90" s="79">
        <f>J5*J13*(GHG!$B48)</f>
        <v>0</v>
      </c>
      <c r="K90" s="79">
        <f>K5*K13*(GHG!$B48)</f>
        <v>0</v>
      </c>
      <c r="L90" s="79">
        <f>L5*L13*(GHG!$B48)</f>
        <v>0</v>
      </c>
      <c r="M90" s="79">
        <f>M5*M13*(GHG!$B48)</f>
        <v>0</v>
      </c>
      <c r="N90" s="79">
        <f>N5*N13*(GHG!$B48)</f>
        <v>0</v>
      </c>
      <c r="O90" s="79">
        <f>O5*O13*(GHG!$B48)</f>
        <v>0</v>
      </c>
      <c r="P90" s="79">
        <f>P5*P13*(GHG!$B48)</f>
        <v>0</v>
      </c>
      <c r="Q90" s="236">
        <f>Q5*Q13*(GHG!$B48)</f>
        <v>0</v>
      </c>
      <c r="R90" s="237">
        <v>0</v>
      </c>
      <c r="S90" s="44">
        <v>0</v>
      </c>
      <c r="T90" s="44">
        <v>0</v>
      </c>
      <c r="U90" s="47">
        <v>0</v>
      </c>
      <c r="V90" s="46"/>
      <c r="W90" s="155"/>
      <c r="X90" s="12"/>
      <c r="Y90" s="10"/>
    </row>
    <row r="91" spans="1:80" x14ac:dyDescent="0.25">
      <c r="A91" s="48" t="s">
        <v>111</v>
      </c>
      <c r="B91" s="95">
        <f t="shared" si="8"/>
        <v>7989.1589999999997</v>
      </c>
      <c r="C91" s="237">
        <f>C5*C14*GHG!$B80</f>
        <v>0</v>
      </c>
      <c r="D91" s="79">
        <f>D5*D14*GHG!$B81</f>
        <v>7989.1589999999997</v>
      </c>
      <c r="E91" s="79">
        <f>E5*E14*GHG!$B81</f>
        <v>0</v>
      </c>
      <c r="F91" s="79">
        <f>F5*F14*GHG!$B82</f>
        <v>0</v>
      </c>
      <c r="G91" s="79">
        <f>G5*G14*GHG!$B80</f>
        <v>0</v>
      </c>
      <c r="H91" s="79">
        <f>H5*H14*GHG!$B82</f>
        <v>0</v>
      </c>
      <c r="I91" s="79">
        <f>I5*I14*GHG!$B83</f>
        <v>0</v>
      </c>
      <c r="J91" s="79">
        <f>J5*J14*GHG!$B84</f>
        <v>0</v>
      </c>
      <c r="K91" s="79">
        <f>K5*K14*GHG!B85</f>
        <v>0</v>
      </c>
      <c r="L91" s="79">
        <f>L5*L14*GHG!$B86</f>
        <v>0</v>
      </c>
      <c r="M91" s="79">
        <f>M5*M14*GHG!B87</f>
        <v>0</v>
      </c>
      <c r="N91" s="79">
        <f>N5*N14*GHG!B88</f>
        <v>0</v>
      </c>
      <c r="O91" s="41">
        <f>O5*O14*GHG!$B89</f>
        <v>0</v>
      </c>
      <c r="P91" s="219">
        <f>((AgInputs!B328*GHG!B90)*P5)</f>
        <v>0</v>
      </c>
      <c r="Q91" s="273">
        <f>((AgInputs!B328*GHG!B90)*Q5)</f>
        <v>0</v>
      </c>
      <c r="R91" s="237">
        <v>0</v>
      </c>
      <c r="S91" s="44">
        <v>0</v>
      </c>
      <c r="T91" s="44">
        <v>0</v>
      </c>
      <c r="U91" s="47">
        <v>0</v>
      </c>
      <c r="V91" s="79"/>
      <c r="W91" s="79"/>
      <c r="X91" s="10"/>
    </row>
    <row r="92" spans="1:80" x14ac:dyDescent="0.25">
      <c r="A92" s="48" t="s">
        <v>2</v>
      </c>
      <c r="B92" s="95">
        <f t="shared" si="8"/>
        <v>5297.2157500000003</v>
      </c>
      <c r="C92" s="237">
        <f>C5*C15*GHG!$B93</f>
        <v>0</v>
      </c>
      <c r="D92" s="79">
        <f>D5*D15*GHG!$B93</f>
        <v>5297.2157500000003</v>
      </c>
      <c r="E92" s="79">
        <f>E5*E15*GHG!$B93</f>
        <v>0</v>
      </c>
      <c r="F92" s="79">
        <f>F5*F15*GHG!$B93</f>
        <v>0</v>
      </c>
      <c r="G92" s="79">
        <f>G5*G15*GHG!$B93</f>
        <v>0</v>
      </c>
      <c r="H92" s="79">
        <f>H5*H15*GHG!$B93</f>
        <v>0</v>
      </c>
      <c r="I92" s="79">
        <f>I5*I15*GHG!$B93</f>
        <v>0</v>
      </c>
      <c r="J92" s="79">
        <f>J5*J15*GHG!$B93</f>
        <v>0</v>
      </c>
      <c r="K92" s="79">
        <f>K5*K15*GHG!$B93</f>
        <v>0</v>
      </c>
      <c r="L92" s="79">
        <f>L5*L15*GHG!$B93</f>
        <v>0</v>
      </c>
      <c r="M92" s="79">
        <f>M5*M15*GHG!$B93</f>
        <v>0</v>
      </c>
      <c r="N92" s="79">
        <f>N5*N15*GHG!$B93</f>
        <v>0</v>
      </c>
      <c r="O92" s="79">
        <f>O5*O15*GHG!$B93</f>
        <v>0</v>
      </c>
      <c r="P92" s="79">
        <f>P5*P15*GHG!$B93</f>
        <v>0</v>
      </c>
      <c r="Q92" s="236">
        <f>Q5*Q15*GHG!$B93</f>
        <v>0</v>
      </c>
      <c r="R92" s="237">
        <v>0</v>
      </c>
      <c r="S92" s="44">
        <v>0</v>
      </c>
      <c r="T92" s="44">
        <v>0</v>
      </c>
      <c r="U92" s="47">
        <v>0</v>
      </c>
      <c r="V92" s="79"/>
      <c r="W92" s="79"/>
      <c r="X92" s="10"/>
    </row>
    <row r="93" spans="1:80" x14ac:dyDescent="0.25">
      <c r="A93" s="48" t="s">
        <v>109</v>
      </c>
      <c r="B93" s="95">
        <f t="shared" si="8"/>
        <v>2148.9</v>
      </c>
      <c r="C93" s="237">
        <f>C5*C16*GHG!$B104</f>
        <v>0</v>
      </c>
      <c r="D93" s="79">
        <f>D5*D16*GHG!$B104</f>
        <v>2148.9</v>
      </c>
      <c r="E93" s="79">
        <f>E5*E16*GHG!$B104</f>
        <v>0</v>
      </c>
      <c r="F93" s="79">
        <f>F5*F16*GHG!$B104</f>
        <v>0</v>
      </c>
      <c r="G93" s="79">
        <f>G5*G16*GHG!$B104</f>
        <v>0</v>
      </c>
      <c r="H93" s="79">
        <f>H5*H16*GHG!$B104</f>
        <v>0</v>
      </c>
      <c r="I93" s="79">
        <f>I5*I16*GHG!$B104</f>
        <v>0</v>
      </c>
      <c r="J93" s="79">
        <f>J5*J16*GHG!$B104</f>
        <v>0</v>
      </c>
      <c r="K93" s="79">
        <f>K5*K16*GHG!$B104</f>
        <v>0</v>
      </c>
      <c r="L93" s="79">
        <f>L5*L16*GHG!$B104</f>
        <v>0</v>
      </c>
      <c r="M93" s="79">
        <f>M5*M16*GHG!$B104</f>
        <v>0</v>
      </c>
      <c r="N93" s="79">
        <f>N5*N16*GHG!$B104</f>
        <v>0</v>
      </c>
      <c r="O93" s="79">
        <f>O5*O16*GHG!$B104</f>
        <v>0</v>
      </c>
      <c r="P93" s="79">
        <f>P5*P16*GHG!$B104</f>
        <v>0</v>
      </c>
      <c r="Q93" s="236">
        <f>Q5*Q16*GHG!$B104</f>
        <v>0</v>
      </c>
      <c r="R93" s="237">
        <v>0</v>
      </c>
      <c r="S93" s="44">
        <v>0</v>
      </c>
      <c r="T93" s="44">
        <v>0</v>
      </c>
      <c r="U93" s="47">
        <v>0</v>
      </c>
      <c r="V93" s="79"/>
      <c r="W93" s="79"/>
      <c r="X93" s="10"/>
    </row>
    <row r="94" spans="1:80" x14ac:dyDescent="0.25">
      <c r="A94" s="19" t="s">
        <v>363</v>
      </c>
      <c r="B94" s="95">
        <f t="shared" si="8"/>
        <v>22667.924028571426</v>
      </c>
      <c r="C94" s="237">
        <f>C17*C5*GHG!$B$113</f>
        <v>0</v>
      </c>
      <c r="D94" s="79">
        <f>D17*D5*GHG!$B$113</f>
        <v>22667.924028571426</v>
      </c>
      <c r="E94" s="79">
        <f>E17*E5*GHG!$B$113</f>
        <v>0</v>
      </c>
      <c r="F94" s="79">
        <f>F17*F5*GHG!$B$113</f>
        <v>0</v>
      </c>
      <c r="G94" s="79">
        <f>G17*G5*GHG!$B$113</f>
        <v>0</v>
      </c>
      <c r="H94" s="79">
        <f>H17*H5*GHG!$B$113</f>
        <v>0</v>
      </c>
      <c r="I94" s="79">
        <f>I17*I5*GHG!$B$113</f>
        <v>0</v>
      </c>
      <c r="J94" s="79">
        <f>J17*J5*GHG!$B$113</f>
        <v>0</v>
      </c>
      <c r="K94" s="79">
        <f>K17*K5*GHG!$B$113</f>
        <v>0</v>
      </c>
      <c r="L94" s="79">
        <f>L17*L5*GHG!$B$113</f>
        <v>0</v>
      </c>
      <c r="M94" s="79">
        <f>M17*M5*GHG!$B$113</f>
        <v>0</v>
      </c>
      <c r="N94" s="79">
        <f>N17*N5*GHG!$B$113</f>
        <v>0</v>
      </c>
      <c r="O94" s="79">
        <f>O17*O5*GHG!$B$113</f>
        <v>0</v>
      </c>
      <c r="P94" s="79">
        <f>P17*P5*GHG!$B$113</f>
        <v>0</v>
      </c>
      <c r="Q94" s="236">
        <f>Q17*Q5*GHG!$B$113</f>
        <v>0</v>
      </c>
      <c r="R94" s="237">
        <v>0</v>
      </c>
      <c r="S94" s="44">
        <v>0</v>
      </c>
      <c r="T94" s="44">
        <v>0</v>
      </c>
      <c r="U94" s="47">
        <v>0</v>
      </c>
      <c r="V94" s="79"/>
      <c r="W94" s="79"/>
      <c r="X94" s="10"/>
    </row>
    <row r="95" spans="1:80" x14ac:dyDescent="0.25">
      <c r="A95" s="40" t="s">
        <v>87</v>
      </c>
      <c r="B95" s="95">
        <f t="shared" si="8"/>
        <v>4516.8970238095244</v>
      </c>
      <c r="C95" s="237">
        <f>GHG!$B128*C5*(C10+C11+C12+C13+C14+C15+C16)</f>
        <v>0</v>
      </c>
      <c r="D95" s="79">
        <f>GHG!$B128*D5*(D10+D11+D12+D13+D14+D15+D16)</f>
        <v>4516.8970238095244</v>
      </c>
      <c r="E95" s="79">
        <f>GHG!$B128*E5*(E10+E11+E12+E13+E14+E15+E16)</f>
        <v>0</v>
      </c>
      <c r="F95" s="79">
        <f>GHG!$B128*F5*(F10+F11+F12+F13+F14+F15+F16)</f>
        <v>0</v>
      </c>
      <c r="G95" s="79">
        <f>GHG!$B128*G5*(G10+G11+G12+G13+G14+G15+G16)</f>
        <v>0</v>
      </c>
      <c r="H95" s="79">
        <f>GHG!$B128*H5*(H10+H11+H12+H13+H14+H15+H16)</f>
        <v>0</v>
      </c>
      <c r="I95" s="79">
        <f>GHG!$B128*I5*(I10+I11+I12+I13+I14+I15+I16)</f>
        <v>0</v>
      </c>
      <c r="J95" s="79">
        <f>GHG!$B128*J5*(J10+J11+J12+J13+J14+J15+J16)</f>
        <v>0</v>
      </c>
      <c r="K95" s="79">
        <f>GHG!$B128*K5*(K10+K11+K12+K13+K14+K15+K16)</f>
        <v>0</v>
      </c>
      <c r="L95" s="79">
        <f>GHG!$B128*L5*(L10+L11+L12+L13+L14+L15+L16)</f>
        <v>0</v>
      </c>
      <c r="M95" s="79">
        <f>GHG!$B128*M5*(M10+M11+M12+M13+M14+M15+M16)</f>
        <v>0</v>
      </c>
      <c r="N95" s="79">
        <f>GHG!$B128*N5*(N10+N11+N12+N13+N14+N15+N16)</f>
        <v>0</v>
      </c>
      <c r="O95" s="79">
        <f>GHG!$B128*O5*(O10+O11+O12+O13+O14+O15+O16)</f>
        <v>0</v>
      </c>
      <c r="P95" s="79">
        <f>GHG!$B128*P5*(P10+P11+P12+P13+P14+P15+P16)</f>
        <v>0</v>
      </c>
      <c r="Q95" s="236">
        <f>GHG!$B128*Q5*(Q10+Q11+Q12+Q13+Q14+Q15+Q16)</f>
        <v>0</v>
      </c>
      <c r="R95" s="237">
        <v>0</v>
      </c>
      <c r="S95" s="44">
        <v>0</v>
      </c>
      <c r="T95" s="44">
        <v>0</v>
      </c>
      <c r="U95" s="47">
        <v>0</v>
      </c>
      <c r="V95" s="79"/>
      <c r="W95" s="79"/>
      <c r="X95" s="10"/>
      <c r="BT95" s="50"/>
      <c r="BU95" s="50"/>
      <c r="BV95" s="50"/>
      <c r="BW95" s="50"/>
      <c r="BX95" s="50"/>
      <c r="BY95" s="50"/>
      <c r="BZ95" s="50"/>
      <c r="CA95" s="50"/>
    </row>
    <row r="96" spans="1:80" x14ac:dyDescent="0.25">
      <c r="A96" s="48" t="s">
        <v>88</v>
      </c>
      <c r="B96" s="95">
        <f t="shared" si="8"/>
        <v>10209.792000000005</v>
      </c>
      <c r="C96" s="258">
        <f>C41*GHG!$B129</f>
        <v>0</v>
      </c>
      <c r="D96" s="141">
        <f>D41*GHG!$B129</f>
        <v>10209.792000000005</v>
      </c>
      <c r="E96" s="141">
        <f>E41*GHG!$B129</f>
        <v>0</v>
      </c>
      <c r="F96" s="141">
        <f>F41*GHG!$B129</f>
        <v>0</v>
      </c>
      <c r="G96" s="141">
        <f>G41*GHG!$B129</f>
        <v>0</v>
      </c>
      <c r="H96" s="141">
        <f>H41*GHG!$B129</f>
        <v>0</v>
      </c>
      <c r="I96" s="141">
        <f>I41*GHG!$B129</f>
        <v>0</v>
      </c>
      <c r="J96" s="141">
        <f>J41*GHG!$B129</f>
        <v>0</v>
      </c>
      <c r="K96" s="141">
        <f>K41*GHG!$B129</f>
        <v>0</v>
      </c>
      <c r="L96" s="141">
        <f>L41*GHG!$B129</f>
        <v>0</v>
      </c>
      <c r="M96" s="141">
        <f>M41*GHG!$B129</f>
        <v>0</v>
      </c>
      <c r="N96" s="141">
        <f>N41*GHG!$B129</f>
        <v>0</v>
      </c>
      <c r="O96" s="141">
        <f>O41*GHG!$B129</f>
        <v>0</v>
      </c>
      <c r="P96" s="141">
        <f>P41*GHG!$B129</f>
        <v>0</v>
      </c>
      <c r="Q96" s="238">
        <v>0</v>
      </c>
      <c r="R96" s="237">
        <v>0</v>
      </c>
      <c r="S96" s="44">
        <v>0</v>
      </c>
      <c r="T96" s="44">
        <v>0</v>
      </c>
      <c r="U96" s="47">
        <v>0</v>
      </c>
      <c r="V96" s="141"/>
      <c r="W96" s="141"/>
      <c r="X96" s="10"/>
    </row>
    <row r="97" spans="1:55" x14ac:dyDescent="0.25">
      <c r="A97" s="40" t="s">
        <v>1024</v>
      </c>
      <c r="B97" s="95">
        <f t="shared" si="8"/>
        <v>114394.83245149144</v>
      </c>
      <c r="C97" s="259">
        <f>IF(C5&gt;0,(C10*C5*GHG!$B$70*GHG!$B$76*GHG!$B$5)+((C21*GHG!D62+GHG!D63)*(GHG!D64+GHG!D65*GHG!D66)*(GHG!$B$70)*GHG!$B$76*GHG!$B$5*1000*(1-T5))+(C10*C5*GHG!$B$71*GHG!$B$72*GHG!$B$76*GHG!$B$5)+(C10*C5*GHG!$B$75*GHG!$B$73*GHG!$B$76*GHG!$B$5),0)</f>
        <v>0</v>
      </c>
      <c r="D97" s="231">
        <f>IF(D5&gt;0,(D10*D5*GHG!$B$70*GHG!$B$76*GHG!$B$5)+((D21*GHG!E62+GHG!E63)*(GHG!E64+GHG!E65*GHG!E66)*(GHG!$B$70)*GHG!$B$76*GHG!$B$5*1000*(1-V5))+(D10*D5*GHG!$B$71*GHG!$B$72*GHG!$B$76*GHG!$B$5)+(D10*D5*GHG!$B$75*GHG!$B$73*GHG!$B$76*GHG!$B$5),0)</f>
        <v>114394.83245149144</v>
      </c>
      <c r="E97" s="231">
        <f>IF(E5&gt;0,(E10*E5*GHG!$B$70*GHG!$B$76*GHG!$B$5)+((E21*GHG!F62+GHG!F63)*(GHG!F64+GHG!F65*GHG!F66)*(GHG!$B$70)*GHG!$B$76*GHG!$B$5*1000)+(E10*E5*GHG!$B$71*GHG!$B$72*GHG!$B$76*GHG!$B$5)+(E10*E5*GHG!$B$75*GHG!$B$73*GHG!$B$76*GHG!$B$5),0)</f>
        <v>0</v>
      </c>
      <c r="F97" s="231">
        <f>IF(F5&gt;0,(F10*F5*GHG!$B$70*GHG!$B$76*GHG!$B$5)+((F21*GHG!G62+GHG!G63)*(GHG!G64+GHG!G65*GHG!G66)*(GHG!$B$70)*GHG!$B$76*GHG!$B$5*1000)+(F10*F5*GHG!$B$71*GHG!$B$72*GHG!$B$76*GHG!$B$5)+(F10*F5*GHG!$B$75*GHG!$B$73*GHG!$B$76*GHG!$B$5),0)</f>
        <v>0</v>
      </c>
      <c r="G97" s="231">
        <f>IF(G5&gt;0,(G10*G5*GHG!$B$70*GHG!$B$76*GHG!$B$5)+((G21*GHG!H62+GHG!H63)*(GHG!H64+GHG!H65*GHG!H66)*(GHG!$B$70)*GHG!$B$76*GHG!$B$5*1000*(1-U5))+(G10*G5*GHG!$B$71*GHG!$B$72*GHG!$B$76*GHG!$B$5)+(G10*G5*GHG!$B$75*GHG!$B$73*GHG!$B$76*GHG!$B$5),0)</f>
        <v>0</v>
      </c>
      <c r="H97" s="231">
        <f>IF(H5&gt;0,(H10*H5*GHG!$B$70*GHG!$B$76*GHG!$B$5)+((H21*GHG!I62+GHG!I63)*(GHG!I64+GHG!I65*GHG!I66)*(GHG!$B$70)*GHG!$B$76*GHG!$B$5*1000)+(H10*H5*GHG!$B$71*GHG!$B$72*GHG!$B$76*GHG!$B$5)+(H10*H5*GHG!$B$75*GHG!$B$73*GHG!$B$76*GHG!$B$5),0)</f>
        <v>0</v>
      </c>
      <c r="I97" s="231">
        <f>IF(I5&gt;0,(I10*I5*GHG!$B$70*GHG!$B$76*GHG!$B$5)+((I21*GHG!J62+GHG!J63)*(GHG!J64+GHG!J65*GHG!J66)*(GHG!$B$70)*GHG!$B$76*GHG!$B$5*1000)+(I10*I5*GHG!$B$71*GHG!$B$72*GHG!$B$76*GHG!$B$5)+(I10*I5*GHG!$B$75*GHG!$B$73*GHG!$B$76*GHG!$B$5),0)</f>
        <v>0</v>
      </c>
      <c r="J97" s="231">
        <f>IF(J5&gt;0,(J10*J5*GHG!$B$70*GHG!$B$76*GHG!$B$5)+((J21*GHG!K62+GHG!K63)*(GHG!K64+GHG!K65*GHG!K66)*(GHG!$B$70)*GHG!$B$76*GHG!$B$5*1000)+(J10*J5*GHG!$B$71*GHG!$B$72*GHG!$B$76*GHG!$B$5)+(J10*J5*GHG!$B$75*GHG!$B$73*GHG!$B$76*GHG!$B$5),0)</f>
        <v>0</v>
      </c>
      <c r="K97" s="231">
        <f>IF(K5&gt;0,(K10*K5*GHG!$B$70*GHG!$B$76*GHG!$B$5)+((K21*GHG!L62+GHG!L63)*(GHG!L64+GHG!L65*GHG!L66)*(GHG!$B$70)*GHG!$B$76*GHG!$B$5*1000)+(K10*K5*GHG!$B$71*GHG!$B$72*GHG!$B$76*GHG!$B$5)+(K10*K5*GHG!$B$75*GHG!$B$73*GHG!$B$76*GHG!$B$5),0)</f>
        <v>0</v>
      </c>
      <c r="L97" s="231">
        <f>IF(L5&gt;0,(L10*L5*GHG!$B$70*GHG!$B$76*GHG!$B$5)+((L21*GHG!M62+GHG!M63)*(GHG!M64+GHG!M65*GHG!M66)*(GHG!$B$70)*GHG!$B$76*GHG!$B$5*1000)+(L10*L5*GHG!$B$71*GHG!$B$72*GHG!$B$76*GHG!$B$5)+(L10*L5*GHG!$B$75*GHG!$B$73*GHG!$B$76*GHG!$B$5),0)</f>
        <v>0</v>
      </c>
      <c r="M97" s="231">
        <f>IF(M5&gt;0,(M10*M5*GHG!$B$70*GHG!$B$76*GHG!$B$5)+((M21*GHG!N62+GHG!N63)*(GHG!N64+GHG!N65*GHG!N66)*(GHG!$B$70)*GHG!$B$76*GHG!$B$5*1000*(1-W5))+(M10*M5*GHG!$B$71*GHG!$B$72*GHG!$B$76*GHG!$B$5)+(M10*M5*GHG!$B$75*GHG!$B$73*GHG!$B$76*GHG!$B$5),0)</f>
        <v>0</v>
      </c>
      <c r="N97" s="231">
        <f>IF(N5&gt;0,(N10*N5*GHG!$B$70*GHG!$B$76*GHG!$B$5)+((N21*GHG!O62+GHG!O63)*(GHG!O64+GHG!O65*GHG!O66)*(GHG!$B$70)*GHG!$B$76*GHG!$B$5*1000)+(N10*N5*GHG!$B$71*GHG!$B$72*GHG!$B$76*GHG!$B$5)+(N10*N5*GHG!$B$75*GHG!$B$73*GHG!$B$76*GHG!$B$5),0)</f>
        <v>0</v>
      </c>
      <c r="O97" s="231">
        <f>IF(O5&gt;0,(O10*O5*GHG!$B$70*GHG!$B$76*GHG!$B$5)+((O21*GHG!P62+GHG!P63)*(GHG!P64+GHG!P65*GHG!P66)*(GHG!$B$70)*GHG!$B$76*GHG!$B$5*1000)+(O10*O5*GHG!$B$71*GHG!$B$72*GHG!$B$76*GHG!$B$5)+(O10*O5*GHG!$B$75*GHG!$B$73*GHG!$B$76*GHG!$B$5),0)</f>
        <v>0</v>
      </c>
      <c r="P97" s="231">
        <f>IF(P5&gt;0,(P10*P5*GHG!$B$70*GHG!$B$76*GHG!$B$5)+((P21*GHG!Q62+GHG!Q63)*(GHG!Q64+GHG!Q65*GHG!Q66)*(GHG!$B$70)*GHG!$B$76*GHG!$B$5*1000)+(P10*P5*GHG!$B$71*GHG!$B$72*GHG!$B$76*GHG!$B$5)+(P10*P5*GHG!$B$75*GHG!$B$73*GHG!$B$76*GHG!$B$5),0)</f>
        <v>0</v>
      </c>
      <c r="Q97" s="231">
        <f>IF(Q5&gt;0,(Q10*Q5*GHG!$B$70*GHG!$B$76*GHG!$B$5)+((Q21*GHG!R62+GHG!R63)*(GHG!R64+GHG!R65*GHG!R66)*(GHG!$B$70)*GHG!$B$76*GHG!$B$5*1000)+(Q10*Q5*GHG!$B$71*GHG!$B$72*GHG!$B$76*GHG!$B$5)+(Q10*Q5*GHG!$B$75*GHG!$B$73*GHG!$B$76*GHG!$B$5),0)</f>
        <v>0</v>
      </c>
      <c r="R97" s="237">
        <v>0</v>
      </c>
      <c r="S97" s="44">
        <v>0</v>
      </c>
      <c r="T97" s="44">
        <v>0</v>
      </c>
      <c r="U97" s="47">
        <v>0</v>
      </c>
      <c r="V97" s="231"/>
      <c r="W97" s="16"/>
      <c r="X97" s="10"/>
    </row>
    <row r="98" spans="1:55" ht="15.75" thickBot="1" x14ac:dyDescent="0.3">
      <c r="A98" s="21" t="s">
        <v>1023</v>
      </c>
      <c r="B98" s="419">
        <f>SUM(B87:B97)</f>
        <v>253687.80890770574</v>
      </c>
      <c r="C98" s="420"/>
      <c r="D98" s="421"/>
      <c r="E98" s="421"/>
      <c r="F98" s="421"/>
      <c r="G98" s="421"/>
      <c r="H98" s="421"/>
      <c r="I98" s="421"/>
      <c r="J98" s="421"/>
      <c r="K98" s="421"/>
      <c r="L98" s="421"/>
      <c r="M98" s="421"/>
      <c r="N98" s="421"/>
      <c r="O98" s="421"/>
      <c r="P98" s="421"/>
      <c r="Q98" s="422"/>
      <c r="R98" s="420"/>
      <c r="S98" s="421"/>
      <c r="T98" s="421"/>
      <c r="U98" s="422"/>
      <c r="V98" s="44"/>
      <c r="W98" s="44"/>
      <c r="X98" s="10"/>
    </row>
    <row r="99" spans="1:55" x14ac:dyDescent="0.25">
      <c r="C99" s="14"/>
      <c r="D99" s="16"/>
      <c r="E99" s="16"/>
      <c r="F99" s="16"/>
      <c r="G99" s="16"/>
      <c r="H99" s="16"/>
      <c r="I99" s="16"/>
      <c r="J99" s="16"/>
      <c r="K99" s="16"/>
      <c r="L99" s="14"/>
      <c r="M99" s="16"/>
      <c r="N99" s="16"/>
      <c r="O99" s="16"/>
      <c r="P99" s="16"/>
      <c r="Q99" s="14"/>
      <c r="R99" s="14"/>
      <c r="S99" s="94"/>
      <c r="T99" s="94"/>
      <c r="U99" s="16"/>
      <c r="V99" s="16"/>
      <c r="W99" s="16"/>
      <c r="X99" s="10"/>
      <c r="BC99" s="6"/>
    </row>
    <row r="100" spans="1:55" x14ac:dyDescent="0.25">
      <c r="A100" s="363" t="s">
        <v>820</v>
      </c>
      <c r="B100" s="13"/>
      <c r="C100" s="44"/>
      <c r="D100" s="44"/>
      <c r="E100" s="44"/>
      <c r="F100" s="44"/>
      <c r="G100" s="44"/>
      <c r="H100" s="44"/>
      <c r="I100" s="44"/>
      <c r="J100" s="44"/>
      <c r="K100" s="44"/>
      <c r="L100" s="14"/>
      <c r="M100" s="44"/>
      <c r="N100" s="44"/>
      <c r="O100" s="44"/>
      <c r="P100" s="44"/>
      <c r="Q100" s="14"/>
      <c r="R100" s="14"/>
      <c r="S100" s="94"/>
      <c r="T100" s="94"/>
      <c r="U100" s="44"/>
      <c r="V100" s="16"/>
      <c r="W100" s="16"/>
      <c r="X100" s="13"/>
      <c r="Y100" s="8"/>
      <c r="BC100" s="6"/>
    </row>
    <row r="101" spans="1:55" x14ac:dyDescent="0.25">
      <c r="A101" s="13" t="s">
        <v>1021</v>
      </c>
      <c r="C101" s="217">
        <f>IF(C10=0,0,IF(C5=0,0,((4.55*EXP(0.0064*C10)*GHG!$B$76/1000)*GHG!$B$5)*365))*C5</f>
        <v>0</v>
      </c>
      <c r="D101" s="217">
        <f>IF(D10=0,0,IF(D5=0,0,((4.55*EXP(0.0064*D10)*GHG!$B$76/1000)*GHG!$B$5)*365))*D5</f>
        <v>197473.18931404367</v>
      </c>
      <c r="E101" s="217">
        <f>IF(E10=0,0,IF(E5=0,0,((4.55*EXP(0.0064*E10)*GHG!$B$76/1000)*GHG!$B$5)*365))*E5</f>
        <v>0</v>
      </c>
      <c r="F101" s="217">
        <f>IF(F10=0,0,IF(F5=0,0,((4.55*EXP(0.0064*F10)*GHG!$B$76/1000)*GHG!$B$5)*365))*F5</f>
        <v>0</v>
      </c>
      <c r="G101" s="217">
        <f>IF(G10=0,0,IF(G5=0,0,((4.55*EXP(0.0064*G10)*GHG!$B$76/1000)*GHG!$B$5)*365))*G5</f>
        <v>0</v>
      </c>
      <c r="H101" s="217">
        <f>IF(H10=0,0,IF(H5=0,0,((4.55*EXP(0.0064*H10)*GHG!$B$76/1000)*GHG!$B$5)*365))*H5</f>
        <v>0</v>
      </c>
      <c r="I101" s="217">
        <f>IF(I10=0,0,IF(I5=0,0,((4.55*EXP(0.0064*I10)*GHG!$B$76/1000)*GHG!$B$5)*365))*I5</f>
        <v>0</v>
      </c>
      <c r="J101" s="217">
        <f>IF(J10=0,0,IF(J5=0,0,((4.55*EXP(0.0064*J10)*GHG!$B$76/1000)*GHG!$B$5)*365))*J5</f>
        <v>0</v>
      </c>
      <c r="K101" s="217">
        <f>IF(K10=0,0,IF(K5=0,0,((4.55*EXP(0.0064*K10)*GHG!$B$76/1000)*GHG!$B$5)*365))*K5</f>
        <v>0</v>
      </c>
      <c r="L101" s="217">
        <f>IF(L10=0,0,IF(L5=0,0,((4.55*EXP(0.0064*L10)*GHG!$B$76/1000)*GHG!$B$5)*365))*L5</f>
        <v>0</v>
      </c>
      <c r="M101" s="217">
        <f>IF(M10=0,0,IF(M5=0,0,((4.55*EXP(0.0064*M10)*GHG!$B$76/1000)*GHG!$B$5)*365))*M5</f>
        <v>0</v>
      </c>
      <c r="N101" s="217">
        <f>IF(N10=0,0,IF(N5=0,0,((4.55*EXP(0.0064*N10)*GHG!$B$76/1000)*GHG!$B$5)*365))*N5</f>
        <v>0</v>
      </c>
      <c r="O101" s="217">
        <f>IF(O10=0,0,IF(O5=0,0,((4.55*EXP(0.0064*O10)*GHG!$B$76/1000)*GHG!$B$5)*365))*O5</f>
        <v>0</v>
      </c>
      <c r="P101" s="217">
        <f>IF(P10=0,0,IF(P5=0,0,((4.55*EXP(0.0064*P10)*GHG!$B$76/1000)*GHG!$B$5)*365))*P5</f>
        <v>0</v>
      </c>
      <c r="Q101" s="217">
        <f>IF(Q10=0,0,IF(Q5=0,0,((4.55*EXP(0.0064*Q10)*GHG!$B$76/1000)*GHG!$B$5)*365))*Q5</f>
        <v>0</v>
      </c>
      <c r="R101" s="14"/>
      <c r="S101" s="94"/>
      <c r="T101" s="94"/>
      <c r="U101" s="222"/>
      <c r="V101" s="222"/>
      <c r="W101" s="222"/>
      <c r="X101" s="13"/>
      <c r="Y101" s="8"/>
      <c r="BC101" s="6"/>
    </row>
    <row r="102" spans="1:55" x14ac:dyDescent="0.25">
      <c r="A102" s="13" t="s">
        <v>819</v>
      </c>
      <c r="C102" s="217">
        <f>IF(C10=0,0,IF(C5=0,0,((1.27+0.023*EXP(0.0175*C10)*GHG!$B$76)*GHG!$B$5)))*C5</f>
        <v>0</v>
      </c>
      <c r="D102" s="217">
        <f>IF(D10=0,0,IF(D5=0,0,((1.27+0.023*EXP(0.0175*D10)*GHG!$B$76)*GHG!$B$5)))*D5</f>
        <v>51612.422212795536</v>
      </c>
      <c r="E102" s="217">
        <f>IF(E10=0,0,IF(E5=0,0,((1.27+0.023*EXP(0.0175*E10)*GHG!$B$76)*GHG!$B$5)))*E5</f>
        <v>0</v>
      </c>
      <c r="F102" s="217">
        <f>IF(F10=0,0,IF(F5=0,0,((1.27+0.023*EXP(0.0175*F10)*GHG!$B$76)*GHG!$B$5)))*F5</f>
        <v>0</v>
      </c>
      <c r="G102" s="217">
        <f>IF(G10=0,0,IF(G5=0,0,((1.27+0.023*EXP(0.0175*G10)*GHG!$B$76)*GHG!$B$5)))*G5</f>
        <v>0</v>
      </c>
      <c r="H102" s="217">
        <f>IF(H10=0,0,IF(H5=0,0,((1.27+0.023*EXP(0.0175*H10)*GHG!$B$76)*GHG!$B$5)))*H5</f>
        <v>0</v>
      </c>
      <c r="I102" s="217">
        <f>IF(I10=0,0,IF(I5=0,0,((1.27+0.023*EXP(0.0175*I10)*GHG!$B$76)*GHG!$B$5)))*I5</f>
        <v>0</v>
      </c>
      <c r="J102" s="217">
        <f>IF(J10=0,0,IF(J5=0,0,((1.27+0.023*EXP(0.0175*J10)*GHG!$B$76)*GHG!$B$5)))*J5</f>
        <v>0</v>
      </c>
      <c r="K102" s="217">
        <f>IF(K10=0,0,IF(K5=0,0,((1.27+0.023*EXP(0.0175*K10)*GHG!$B$76)*GHG!$B$5)))*K5</f>
        <v>0</v>
      </c>
      <c r="L102" s="217">
        <f>IF(L10=0,0,IF(L5=0,0,((1.27+0.023*EXP(0.0175*L10)*GHG!$B$76)*GHG!$B$5)))*L5</f>
        <v>0</v>
      </c>
      <c r="M102" s="217">
        <f>IF(M10=0,0,IF(M5=0,0,((1.27+0.023*EXP(0.0175*M10)*GHG!$B$76)*GHG!$B$5)))*M5</f>
        <v>0</v>
      </c>
      <c r="N102" s="217">
        <f>IF(N10=0,0,IF(N5=0,0,((1.27+0.023*EXP(0.0175*N10)*GHG!$B$76)*GHG!$B$5)))*N5</f>
        <v>0</v>
      </c>
      <c r="O102" s="217">
        <f>IF(O10=0,0,IF(O5=0,0,((1.27+0.023*EXP(0.0175*O10)*GHG!$B$76)*GHG!$B$5)))*O5</f>
        <v>0</v>
      </c>
      <c r="P102" s="217">
        <f>IF(P10=0,0,IF(P5=0,0,((1.27+0.023*EXP(0.0175*P10)*GHG!$B$76)*GHG!$B$5)))*P5</f>
        <v>0</v>
      </c>
      <c r="Q102" s="217">
        <f>IF(Q10=0,0,IF(Q5=0,0,((1.27+0.023*EXP(0.0175*Q10)*GHG!$B$76)*GHG!$B$5)))*Q5</f>
        <v>0</v>
      </c>
      <c r="R102" s="14"/>
      <c r="S102" s="94"/>
      <c r="T102" s="94"/>
      <c r="U102" s="79"/>
      <c r="V102" s="79"/>
      <c r="W102" s="79"/>
      <c r="X102" s="10"/>
      <c r="BC102" s="6"/>
    </row>
    <row r="103" spans="1:55" x14ac:dyDescent="0.25">
      <c r="C103" s="14"/>
      <c r="D103" s="16"/>
      <c r="E103" s="16"/>
      <c r="F103" s="16"/>
      <c r="G103" s="16"/>
      <c r="H103" s="16"/>
      <c r="I103" s="16"/>
      <c r="J103" s="16"/>
      <c r="K103" s="16"/>
      <c r="L103" s="14"/>
      <c r="M103" s="16"/>
      <c r="N103" s="16"/>
      <c r="O103" s="16"/>
      <c r="P103" s="16"/>
      <c r="Q103" s="14"/>
      <c r="R103" s="14"/>
      <c r="S103" s="94"/>
      <c r="T103" s="94"/>
      <c r="U103" s="16"/>
      <c r="V103" s="16"/>
      <c r="W103" s="16"/>
      <c r="X103" s="10"/>
      <c r="BC103" s="6"/>
    </row>
    <row r="104" spans="1:55" x14ac:dyDescent="0.25">
      <c r="C104" s="14"/>
      <c r="D104" s="92"/>
      <c r="E104" s="92"/>
      <c r="F104" s="92"/>
      <c r="G104" s="92"/>
      <c r="H104" s="92"/>
      <c r="I104" s="92"/>
      <c r="J104" s="92"/>
      <c r="K104" s="92"/>
      <c r="L104" s="14"/>
      <c r="M104" s="92"/>
      <c r="N104" s="92"/>
      <c r="O104" s="92"/>
      <c r="P104" s="92"/>
      <c r="Q104" s="14"/>
      <c r="R104" s="14"/>
      <c r="S104" s="94"/>
      <c r="T104" s="94"/>
      <c r="U104" s="92"/>
      <c r="V104" s="92"/>
      <c r="W104" s="92"/>
      <c r="X104" s="10"/>
      <c r="BC104" s="6"/>
    </row>
    <row r="105" spans="1:55" x14ac:dyDescent="0.25">
      <c r="C105" s="14"/>
      <c r="D105" s="14"/>
      <c r="E105" s="14"/>
      <c r="F105" s="14"/>
      <c r="G105" s="14"/>
      <c r="H105" s="14"/>
      <c r="I105" s="14"/>
      <c r="J105" s="14"/>
      <c r="K105" s="14"/>
      <c r="L105" s="14"/>
      <c r="M105" s="14"/>
      <c r="N105" s="14"/>
      <c r="O105" s="14"/>
      <c r="P105" s="14"/>
      <c r="Q105" s="14"/>
      <c r="R105" s="14"/>
      <c r="S105" s="94"/>
      <c r="T105" s="94"/>
      <c r="U105" s="14"/>
      <c r="V105" s="14"/>
      <c r="W105" s="14"/>
      <c r="BC105" s="6"/>
    </row>
    <row r="106" spans="1:55" x14ac:dyDescent="0.25">
      <c r="C106" s="14"/>
      <c r="D106" s="14"/>
      <c r="E106" s="14"/>
      <c r="F106" s="14"/>
      <c r="G106" s="14"/>
      <c r="H106" s="14"/>
      <c r="I106" s="14"/>
      <c r="J106" s="14"/>
      <c r="K106" s="14"/>
      <c r="L106" s="14"/>
      <c r="M106" s="14"/>
      <c r="N106" s="14"/>
      <c r="O106" s="14"/>
      <c r="P106" s="14"/>
      <c r="Q106" s="14"/>
      <c r="R106" s="14"/>
      <c r="S106" s="94"/>
      <c r="T106" s="94"/>
      <c r="U106" s="14"/>
      <c r="V106" s="14"/>
      <c r="W106" s="14"/>
      <c r="BC106" s="6"/>
    </row>
    <row r="107" spans="1:55" x14ac:dyDescent="0.25">
      <c r="C107" s="14"/>
      <c r="D107" s="14"/>
      <c r="E107" s="14"/>
      <c r="F107" s="14"/>
      <c r="G107" s="14"/>
      <c r="H107" s="14"/>
      <c r="I107" s="14"/>
      <c r="J107" s="14"/>
      <c r="K107" s="14"/>
      <c r="L107" s="14"/>
      <c r="M107" s="14"/>
      <c r="N107" s="14"/>
      <c r="O107" s="14"/>
      <c r="P107" s="14"/>
      <c r="Q107" s="14"/>
      <c r="R107" s="14"/>
      <c r="S107" s="94"/>
      <c r="T107" s="94"/>
      <c r="U107" s="14"/>
      <c r="V107" s="14"/>
      <c r="W107" s="14"/>
      <c r="AR107" s="6"/>
      <c r="BC107" s="6"/>
    </row>
    <row r="108" spans="1:55" x14ac:dyDescent="0.25">
      <c r="C108" s="14"/>
      <c r="D108" s="14"/>
      <c r="E108" s="14"/>
      <c r="F108" s="14"/>
      <c r="G108" s="14"/>
      <c r="H108" s="14"/>
      <c r="I108" s="14"/>
      <c r="J108" s="14"/>
      <c r="K108" s="14"/>
      <c r="L108" s="14"/>
      <c r="M108" s="14"/>
      <c r="N108" s="14"/>
      <c r="O108" s="14"/>
      <c r="P108" s="14"/>
      <c r="Q108" s="14"/>
      <c r="R108" s="14"/>
      <c r="S108" s="94"/>
      <c r="T108" s="94"/>
      <c r="U108" s="14"/>
      <c r="V108" s="14"/>
      <c r="W108" s="14"/>
      <c r="AR108" s="6"/>
      <c r="BC108" s="6"/>
    </row>
    <row r="109" spans="1:55" x14ac:dyDescent="0.25">
      <c r="C109" s="14"/>
      <c r="D109" s="14"/>
      <c r="E109" s="14"/>
      <c r="F109" s="14"/>
      <c r="G109" s="14"/>
      <c r="H109" s="14"/>
      <c r="I109" s="14"/>
      <c r="J109" s="14"/>
      <c r="K109" s="14"/>
      <c r="L109" s="14"/>
      <c r="M109" s="14"/>
      <c r="N109" s="14"/>
      <c r="O109" s="14"/>
      <c r="P109" s="14"/>
      <c r="Q109" s="14"/>
      <c r="R109" s="14"/>
      <c r="S109" s="94"/>
      <c r="T109" s="94"/>
      <c r="U109" s="14"/>
      <c r="V109" s="14"/>
      <c r="W109" s="14"/>
      <c r="AR109" s="6"/>
      <c r="BC109" s="6"/>
    </row>
    <row r="110" spans="1:55" x14ac:dyDescent="0.25">
      <c r="C110" s="14"/>
      <c r="D110" s="14"/>
      <c r="E110" s="14"/>
      <c r="F110" s="14"/>
      <c r="G110" s="14"/>
      <c r="H110" s="14"/>
      <c r="I110" s="14"/>
      <c r="J110" s="14"/>
      <c r="K110" s="14"/>
      <c r="L110" s="14"/>
      <c r="M110" s="14"/>
      <c r="N110" s="14"/>
      <c r="O110" s="14"/>
      <c r="P110" s="14"/>
      <c r="Q110" s="14"/>
      <c r="R110" s="14"/>
      <c r="S110" s="94"/>
      <c r="T110" s="94"/>
      <c r="U110" s="14"/>
      <c r="V110" s="14"/>
      <c r="W110" s="14"/>
      <c r="AR110" s="6"/>
      <c r="BC110" s="6"/>
    </row>
    <row r="111" spans="1:55" x14ac:dyDescent="0.25">
      <c r="C111" s="14"/>
      <c r="D111" s="14"/>
      <c r="E111" s="14"/>
      <c r="F111" s="14"/>
      <c r="G111" s="14"/>
      <c r="H111" s="14"/>
      <c r="I111" s="14"/>
      <c r="J111" s="14"/>
      <c r="K111" s="14"/>
      <c r="L111" s="14"/>
      <c r="M111" s="14"/>
      <c r="N111" s="14"/>
      <c r="O111" s="14"/>
      <c r="P111" s="14"/>
      <c r="Q111" s="14"/>
      <c r="R111" s="14"/>
      <c r="S111" s="94"/>
      <c r="T111" s="94"/>
      <c r="U111" s="14"/>
      <c r="V111" s="14"/>
      <c r="W111" s="14"/>
      <c r="AR111" s="6"/>
      <c r="BC111" s="6"/>
    </row>
    <row r="112" spans="1:55" x14ac:dyDescent="0.25">
      <c r="C112" s="14"/>
      <c r="D112" s="14"/>
      <c r="E112" s="14"/>
      <c r="F112" s="14"/>
      <c r="G112" s="14"/>
      <c r="H112" s="14"/>
      <c r="I112" s="14"/>
      <c r="J112" s="14"/>
      <c r="K112" s="14"/>
      <c r="L112" s="14"/>
      <c r="M112" s="14"/>
      <c r="N112" s="14"/>
      <c r="O112" s="14"/>
      <c r="P112" s="14"/>
      <c r="Q112" s="14"/>
      <c r="R112" s="14"/>
      <c r="S112" s="94"/>
      <c r="T112" s="94"/>
      <c r="U112" s="14"/>
      <c r="V112" s="14"/>
      <c r="W112" s="14"/>
      <c r="AR112" s="6"/>
      <c r="BC112" s="6"/>
    </row>
    <row r="113" spans="3:55" x14ac:dyDescent="0.25">
      <c r="C113" s="14"/>
      <c r="D113" s="14"/>
      <c r="E113" s="14"/>
      <c r="F113" s="14"/>
      <c r="G113" s="14"/>
      <c r="H113" s="14"/>
      <c r="I113" s="14"/>
      <c r="J113" s="14"/>
      <c r="K113" s="14"/>
      <c r="L113" s="14"/>
      <c r="M113" s="14"/>
      <c r="N113" s="14"/>
      <c r="O113" s="14"/>
      <c r="P113" s="14"/>
      <c r="Q113" s="14"/>
      <c r="R113" s="14"/>
      <c r="S113" s="94"/>
      <c r="T113" s="94"/>
      <c r="U113" s="14"/>
      <c r="V113" s="14"/>
      <c r="W113" s="14"/>
      <c r="AR113" s="6"/>
      <c r="BC113" s="6"/>
    </row>
    <row r="114" spans="3:55" x14ac:dyDescent="0.25">
      <c r="C114" s="14"/>
      <c r="D114" s="14"/>
      <c r="E114" s="14"/>
      <c r="F114" s="14"/>
      <c r="G114" s="14"/>
      <c r="H114" s="14"/>
      <c r="I114" s="14"/>
      <c r="J114" s="14"/>
      <c r="K114" s="14"/>
      <c r="L114" s="14"/>
      <c r="M114" s="14"/>
      <c r="N114" s="14"/>
      <c r="O114" s="14"/>
      <c r="P114" s="14"/>
      <c r="Q114" s="14"/>
      <c r="R114" s="14"/>
      <c r="S114" s="94"/>
      <c r="T114" s="94"/>
      <c r="U114" s="14"/>
      <c r="V114" s="14"/>
      <c r="W114" s="14"/>
      <c r="BC114" s="6"/>
    </row>
    <row r="115" spans="3:55" x14ac:dyDescent="0.25">
      <c r="C115" s="14"/>
      <c r="D115" s="14"/>
      <c r="E115" s="14"/>
      <c r="F115" s="14"/>
      <c r="G115" s="14"/>
      <c r="H115" s="14"/>
      <c r="I115" s="14"/>
      <c r="J115" s="14"/>
      <c r="K115" s="14"/>
      <c r="L115" s="14"/>
      <c r="M115" s="14"/>
      <c r="N115" s="14"/>
      <c r="O115" s="14"/>
      <c r="P115" s="14"/>
      <c r="Q115" s="14"/>
      <c r="R115" s="14"/>
      <c r="S115" s="94"/>
      <c r="T115" s="94"/>
      <c r="U115" s="14"/>
      <c r="V115" s="14"/>
      <c r="W115" s="14"/>
      <c r="BC115" s="6"/>
    </row>
    <row r="116" spans="3:55" x14ac:dyDescent="0.25">
      <c r="C116" s="14"/>
      <c r="D116" s="14"/>
      <c r="E116" s="14"/>
      <c r="F116" s="14"/>
      <c r="G116" s="14"/>
      <c r="H116" s="14"/>
      <c r="I116" s="14"/>
      <c r="J116" s="14"/>
      <c r="K116" s="14"/>
      <c r="L116" s="14"/>
      <c r="M116" s="14"/>
      <c r="N116" s="14"/>
      <c r="O116" s="14"/>
      <c r="P116" s="14"/>
      <c r="Q116" s="14"/>
      <c r="R116" s="14"/>
      <c r="S116" s="94"/>
      <c r="T116" s="94"/>
      <c r="U116" s="14"/>
      <c r="V116" s="14"/>
      <c r="W116" s="14"/>
      <c r="BC116" s="6"/>
    </row>
    <row r="117" spans="3:55" x14ac:dyDescent="0.25">
      <c r="C117" s="14"/>
      <c r="D117" s="14"/>
      <c r="E117" s="14"/>
      <c r="F117" s="14"/>
      <c r="G117" s="14"/>
      <c r="H117" s="14"/>
      <c r="I117" s="14"/>
      <c r="J117" s="14"/>
      <c r="K117" s="14"/>
      <c r="L117" s="14"/>
      <c r="M117" s="14"/>
      <c r="N117" s="14"/>
      <c r="O117" s="14"/>
      <c r="P117" s="14"/>
      <c r="Q117" s="14"/>
      <c r="R117" s="14"/>
      <c r="S117" s="94"/>
      <c r="T117" s="94"/>
      <c r="U117" s="14"/>
      <c r="V117" s="14"/>
      <c r="W117" s="14"/>
      <c r="BC117" s="6"/>
    </row>
    <row r="118" spans="3:55" x14ac:dyDescent="0.25">
      <c r="C118" s="14"/>
      <c r="D118" s="14"/>
      <c r="E118" s="14"/>
      <c r="F118" s="14"/>
      <c r="G118" s="14"/>
      <c r="H118" s="14"/>
      <c r="I118" s="14"/>
      <c r="J118" s="14"/>
      <c r="K118" s="14"/>
      <c r="L118" s="14"/>
      <c r="M118" s="14"/>
      <c r="N118" s="14"/>
      <c r="O118" s="14"/>
      <c r="P118" s="14"/>
      <c r="Q118" s="14"/>
      <c r="R118" s="14"/>
      <c r="S118" s="94"/>
      <c r="T118" s="94"/>
      <c r="U118" s="14"/>
      <c r="V118" s="14"/>
      <c r="W118" s="14"/>
    </row>
    <row r="119" spans="3:55" x14ac:dyDescent="0.25">
      <c r="C119" s="14"/>
      <c r="D119" s="14"/>
      <c r="E119" s="14"/>
      <c r="F119" s="14"/>
      <c r="G119" s="14"/>
      <c r="H119" s="14"/>
      <c r="I119" s="14"/>
      <c r="J119" s="14"/>
      <c r="K119" s="14"/>
      <c r="L119" s="14"/>
      <c r="M119" s="14"/>
      <c r="N119" s="14"/>
      <c r="O119" s="14"/>
      <c r="P119" s="14"/>
      <c r="Q119" s="14"/>
      <c r="R119" s="14"/>
      <c r="S119" s="94"/>
      <c r="T119" s="94"/>
      <c r="U119" s="14"/>
      <c r="V119" s="14"/>
      <c r="W119" s="14"/>
    </row>
    <row r="120" spans="3:55" x14ac:dyDescent="0.25">
      <c r="C120" s="14"/>
      <c r="D120" s="14"/>
      <c r="E120" s="14"/>
      <c r="F120" s="14"/>
      <c r="G120" s="14"/>
      <c r="H120" s="14"/>
      <c r="I120" s="14"/>
      <c r="J120" s="14"/>
      <c r="K120" s="14"/>
      <c r="L120" s="14"/>
      <c r="M120" s="14"/>
      <c r="N120" s="14"/>
      <c r="O120" s="14"/>
      <c r="P120" s="14"/>
      <c r="Q120" s="14"/>
      <c r="R120" s="14"/>
      <c r="S120" s="94"/>
      <c r="T120" s="94"/>
      <c r="U120" s="14"/>
      <c r="V120" s="14"/>
      <c r="W120" s="14"/>
    </row>
    <row r="121" spans="3:55" x14ac:dyDescent="0.25">
      <c r="C121" s="14"/>
      <c r="D121" s="14"/>
      <c r="E121" s="14"/>
      <c r="F121" s="14"/>
      <c r="G121" s="14"/>
      <c r="H121" s="14"/>
      <c r="I121" s="14"/>
      <c r="J121" s="14"/>
      <c r="K121" s="14"/>
      <c r="L121" s="14"/>
      <c r="M121" s="14"/>
      <c r="N121" s="14"/>
      <c r="O121" s="14"/>
      <c r="P121" s="14"/>
      <c r="Q121" s="14"/>
      <c r="R121" s="14"/>
      <c r="S121" s="94"/>
      <c r="T121" s="94"/>
      <c r="U121" s="14"/>
      <c r="V121" s="14"/>
      <c r="W121" s="14"/>
    </row>
    <row r="122" spans="3:55" x14ac:dyDescent="0.25">
      <c r="C122" s="14"/>
      <c r="D122" s="14"/>
      <c r="E122" s="14"/>
      <c r="F122" s="14"/>
      <c r="G122" s="14"/>
      <c r="H122" s="14"/>
      <c r="I122" s="14"/>
      <c r="J122" s="14"/>
      <c r="K122" s="14"/>
      <c r="L122" s="14"/>
      <c r="M122" s="14"/>
      <c r="N122" s="14"/>
      <c r="O122" s="14"/>
      <c r="P122" s="14"/>
      <c r="Q122" s="14"/>
      <c r="R122" s="14"/>
      <c r="S122" s="94"/>
      <c r="T122" s="94"/>
      <c r="U122" s="14"/>
      <c r="V122" s="14"/>
      <c r="W122" s="14"/>
    </row>
    <row r="123" spans="3:55" x14ac:dyDescent="0.25">
      <c r="C123" s="14"/>
      <c r="D123" s="14"/>
      <c r="E123" s="14"/>
      <c r="F123" s="14"/>
      <c r="G123" s="14"/>
      <c r="H123" s="14"/>
      <c r="I123" s="14"/>
      <c r="J123" s="14"/>
      <c r="K123" s="14"/>
      <c r="L123" s="14"/>
      <c r="M123" s="14"/>
      <c r="N123" s="14"/>
      <c r="O123" s="14"/>
      <c r="P123" s="14"/>
      <c r="Q123" s="14"/>
      <c r="R123" s="14"/>
      <c r="S123" s="94"/>
      <c r="T123" s="94"/>
      <c r="U123" s="14"/>
      <c r="V123" s="14"/>
      <c r="W123" s="14"/>
    </row>
    <row r="124" spans="3:55" x14ac:dyDescent="0.25">
      <c r="C124" s="14"/>
      <c r="D124" s="14"/>
      <c r="E124" s="14"/>
      <c r="F124" s="14"/>
      <c r="G124" s="14"/>
      <c r="H124" s="14"/>
      <c r="I124" s="14"/>
      <c r="J124" s="14"/>
      <c r="K124" s="14"/>
      <c r="L124" s="14"/>
      <c r="M124" s="14"/>
      <c r="N124" s="14"/>
      <c r="O124" s="14"/>
      <c r="P124" s="14"/>
      <c r="Q124" s="14"/>
      <c r="R124" s="14"/>
      <c r="S124" s="94"/>
      <c r="T124" s="94"/>
      <c r="U124" s="14"/>
      <c r="V124" s="14"/>
      <c r="W124" s="14"/>
    </row>
    <row r="125" spans="3:55" x14ac:dyDescent="0.25">
      <c r="C125" s="14"/>
      <c r="D125" s="14"/>
      <c r="E125" s="14"/>
      <c r="F125" s="14"/>
      <c r="G125" s="14"/>
      <c r="H125" s="14"/>
      <c r="I125" s="14"/>
      <c r="J125" s="14"/>
      <c r="K125" s="14"/>
      <c r="L125" s="14"/>
      <c r="M125" s="14"/>
      <c r="N125" s="14"/>
      <c r="O125" s="14"/>
      <c r="P125" s="14"/>
      <c r="Q125" s="14"/>
      <c r="R125" s="14"/>
      <c r="S125" s="94"/>
      <c r="T125" s="94"/>
      <c r="U125" s="14"/>
      <c r="V125" s="14"/>
      <c r="W125" s="14"/>
    </row>
    <row r="126" spans="3:55" x14ac:dyDescent="0.25">
      <c r="C126" s="14"/>
      <c r="D126" s="14"/>
      <c r="E126" s="14"/>
      <c r="F126" s="14"/>
      <c r="G126" s="14"/>
      <c r="H126" s="14"/>
      <c r="I126" s="14"/>
      <c r="J126" s="14"/>
      <c r="K126" s="14"/>
      <c r="L126" s="14"/>
      <c r="M126" s="14"/>
      <c r="N126" s="14"/>
      <c r="O126" s="14"/>
      <c r="P126" s="14"/>
      <c r="Q126" s="14"/>
      <c r="R126" s="14"/>
      <c r="S126" s="94"/>
      <c r="T126" s="94"/>
      <c r="U126" s="14"/>
      <c r="V126" s="14"/>
      <c r="W126" s="14"/>
    </row>
    <row r="127" spans="3:55" x14ac:dyDescent="0.25">
      <c r="C127" s="14"/>
      <c r="D127" s="14"/>
      <c r="E127" s="14"/>
      <c r="F127" s="14"/>
      <c r="G127" s="14"/>
      <c r="H127" s="14"/>
      <c r="I127" s="14"/>
      <c r="J127" s="14"/>
      <c r="K127" s="14"/>
      <c r="L127" s="14"/>
      <c r="M127" s="14"/>
      <c r="N127" s="14"/>
      <c r="O127" s="14"/>
      <c r="P127" s="14"/>
      <c r="Q127" s="14"/>
      <c r="R127" s="14"/>
      <c r="S127" s="94"/>
      <c r="T127" s="94"/>
      <c r="U127" s="14"/>
      <c r="V127" s="14"/>
      <c r="W127" s="14"/>
    </row>
    <row r="128" spans="3:55" x14ac:dyDescent="0.25">
      <c r="C128" s="14"/>
      <c r="D128" s="14"/>
      <c r="E128" s="14"/>
      <c r="F128" s="14"/>
      <c r="G128" s="14"/>
      <c r="H128" s="14"/>
      <c r="I128" s="14"/>
      <c r="J128" s="14"/>
      <c r="K128" s="14"/>
      <c r="L128" s="14"/>
      <c r="M128" s="14"/>
      <c r="N128" s="14"/>
      <c r="O128" s="14"/>
      <c r="P128" s="14"/>
      <c r="Q128" s="14"/>
      <c r="R128" s="14"/>
      <c r="S128" s="94"/>
      <c r="T128" s="94"/>
      <c r="U128" s="14"/>
      <c r="V128" s="14"/>
      <c r="W128" s="14"/>
    </row>
    <row r="129" spans="3:23" x14ac:dyDescent="0.25">
      <c r="C129" s="14"/>
      <c r="D129" s="14"/>
      <c r="E129" s="14"/>
      <c r="F129" s="14"/>
      <c r="G129" s="14"/>
      <c r="H129" s="14"/>
      <c r="I129" s="14"/>
      <c r="J129" s="14"/>
      <c r="K129" s="14"/>
      <c r="L129" s="14"/>
      <c r="M129" s="14"/>
      <c r="N129" s="14"/>
      <c r="O129" s="14"/>
      <c r="P129" s="14"/>
      <c r="Q129" s="14"/>
      <c r="R129" s="14"/>
      <c r="S129" s="94"/>
      <c r="T129" s="94"/>
      <c r="U129" s="14"/>
      <c r="V129" s="14"/>
      <c r="W129" s="14"/>
    </row>
    <row r="130" spans="3:23" x14ac:dyDescent="0.25">
      <c r="C130" s="14"/>
      <c r="D130" s="14"/>
      <c r="E130" s="14"/>
      <c r="F130" s="14"/>
      <c r="G130" s="14"/>
      <c r="H130" s="14"/>
      <c r="I130" s="14"/>
      <c r="J130" s="14"/>
      <c r="K130" s="14"/>
      <c r="L130" s="14"/>
      <c r="M130" s="14"/>
      <c r="N130" s="14"/>
      <c r="O130" s="14"/>
      <c r="P130" s="14"/>
      <c r="Q130" s="14"/>
      <c r="R130" s="14"/>
      <c r="S130" s="94"/>
      <c r="T130" s="94"/>
      <c r="U130" s="14"/>
      <c r="V130" s="14"/>
      <c r="W130" s="14"/>
    </row>
    <row r="131" spans="3:23" x14ac:dyDescent="0.25">
      <c r="C131" s="14"/>
      <c r="D131" s="16"/>
      <c r="E131" s="16"/>
      <c r="F131" s="16"/>
      <c r="G131" s="16"/>
      <c r="H131" s="16"/>
      <c r="I131" s="16"/>
      <c r="J131" s="16"/>
      <c r="K131" s="16"/>
      <c r="L131" s="14"/>
      <c r="M131" s="16"/>
      <c r="N131" s="16"/>
      <c r="O131" s="16"/>
      <c r="P131" s="16"/>
      <c r="Q131" s="14"/>
      <c r="R131" s="14"/>
      <c r="S131" s="94"/>
      <c r="T131" s="94"/>
      <c r="U131" s="14"/>
      <c r="V131" s="14"/>
      <c r="W131" s="14"/>
    </row>
    <row r="132" spans="3:23" x14ac:dyDescent="0.25">
      <c r="D132" s="10"/>
      <c r="E132" s="10"/>
      <c r="F132" s="10"/>
      <c r="G132" s="10"/>
      <c r="H132" s="10"/>
      <c r="I132" s="10"/>
      <c r="J132" s="10"/>
      <c r="K132" s="10"/>
      <c r="M132" s="10"/>
      <c r="N132" s="103"/>
      <c r="O132" s="103"/>
      <c r="P132" s="103"/>
    </row>
    <row r="133" spans="3:23" x14ac:dyDescent="0.25">
      <c r="D133" s="10"/>
      <c r="E133" s="10"/>
      <c r="F133" s="10"/>
      <c r="G133" s="10"/>
      <c r="H133" s="10"/>
      <c r="I133" s="10"/>
      <c r="J133" s="10"/>
      <c r="K133" s="10"/>
      <c r="M133" s="10"/>
      <c r="N133" s="155"/>
      <c r="O133" s="73"/>
      <c r="P133" s="16"/>
    </row>
    <row r="134" spans="3:23" x14ac:dyDescent="0.25">
      <c r="D134" s="10"/>
      <c r="E134" s="10"/>
      <c r="F134" s="10"/>
      <c r="G134" s="10"/>
      <c r="H134" s="10"/>
      <c r="I134" s="10"/>
      <c r="J134" s="10"/>
      <c r="K134" s="10"/>
      <c r="M134" s="10"/>
      <c r="N134" s="10"/>
      <c r="O134" s="73"/>
      <c r="P134" s="16"/>
    </row>
    <row r="135" spans="3:23" x14ac:dyDescent="0.25">
      <c r="D135" s="10"/>
      <c r="E135" s="10"/>
      <c r="F135" s="10"/>
      <c r="G135" s="10"/>
      <c r="H135" s="10"/>
      <c r="I135" s="10"/>
      <c r="J135" s="10"/>
      <c r="K135" s="10"/>
      <c r="M135" s="10"/>
      <c r="N135" s="10"/>
      <c r="O135" s="73"/>
      <c r="P135" s="16"/>
    </row>
    <row r="136" spans="3:23" x14ac:dyDescent="0.25">
      <c r="D136" s="10"/>
      <c r="E136" s="10"/>
      <c r="F136" s="10"/>
      <c r="G136" s="10"/>
      <c r="H136" s="10"/>
      <c r="I136" s="10"/>
      <c r="J136" s="10"/>
      <c r="K136" s="10"/>
      <c r="M136" s="10"/>
      <c r="N136" s="10"/>
      <c r="O136" s="73"/>
      <c r="P136" s="16"/>
    </row>
    <row r="137" spans="3:23" x14ac:dyDescent="0.25">
      <c r="D137" s="10"/>
      <c r="E137" s="10"/>
      <c r="F137" s="10"/>
      <c r="G137" s="10"/>
      <c r="H137" s="10"/>
      <c r="I137" s="10"/>
      <c r="J137" s="10"/>
      <c r="K137" s="10"/>
      <c r="M137" s="10"/>
      <c r="N137" s="10"/>
      <c r="O137" s="73"/>
      <c r="P137" s="16"/>
    </row>
    <row r="138" spans="3:23" x14ac:dyDescent="0.25">
      <c r="D138" s="10"/>
      <c r="E138" s="10"/>
      <c r="F138" s="10"/>
      <c r="G138" s="10"/>
      <c r="H138" s="10"/>
      <c r="I138" s="10"/>
      <c r="J138" s="10"/>
      <c r="K138" s="10"/>
      <c r="M138" s="10"/>
      <c r="N138" s="10"/>
      <c r="O138" s="73"/>
      <c r="P138" s="16"/>
    </row>
    <row r="139" spans="3:23" x14ac:dyDescent="0.25">
      <c r="D139" s="10"/>
      <c r="E139" s="10"/>
      <c r="F139" s="10"/>
      <c r="G139" s="10"/>
      <c r="H139" s="10"/>
      <c r="I139" s="10"/>
      <c r="J139" s="10"/>
      <c r="K139" s="10"/>
      <c r="M139" s="10"/>
      <c r="N139" s="10"/>
      <c r="O139" s="73"/>
      <c r="P139" s="16"/>
    </row>
    <row r="140" spans="3:23" x14ac:dyDescent="0.25">
      <c r="D140" s="10"/>
      <c r="E140" s="10"/>
      <c r="F140" s="10"/>
      <c r="G140" s="10"/>
      <c r="H140" s="10"/>
      <c r="I140" s="10"/>
      <c r="J140" s="10"/>
      <c r="K140" s="10"/>
      <c r="M140" s="10"/>
      <c r="N140" s="10"/>
      <c r="O140" s="11"/>
      <c r="P140" s="16"/>
    </row>
    <row r="141" spans="3:23" x14ac:dyDescent="0.25">
      <c r="D141" s="10"/>
      <c r="E141" s="10"/>
      <c r="F141" s="10"/>
      <c r="G141" s="10"/>
      <c r="H141" s="10"/>
      <c r="I141" s="10"/>
      <c r="J141" s="10"/>
      <c r="K141" s="10"/>
      <c r="M141" s="10"/>
      <c r="N141" s="13"/>
      <c r="O141" s="11"/>
      <c r="P141" s="44"/>
    </row>
    <row r="142" spans="3:23" x14ac:dyDescent="0.25">
      <c r="D142" s="10"/>
      <c r="E142" s="10"/>
      <c r="F142" s="10"/>
      <c r="G142" s="10"/>
      <c r="H142" s="10"/>
      <c r="I142" s="10"/>
      <c r="J142" s="10"/>
      <c r="K142" s="10"/>
      <c r="M142" s="10"/>
      <c r="N142" s="13"/>
      <c r="O142" s="10"/>
      <c r="P142" s="44"/>
    </row>
    <row r="143" spans="3:23" x14ac:dyDescent="0.25">
      <c r="D143" s="10"/>
      <c r="E143" s="10"/>
      <c r="F143" s="10"/>
      <c r="G143" s="10"/>
      <c r="H143" s="10"/>
      <c r="I143" s="10"/>
      <c r="J143" s="10"/>
      <c r="K143" s="10"/>
      <c r="M143" s="10"/>
      <c r="N143" s="10"/>
      <c r="O143" s="10"/>
      <c r="P143" s="10"/>
    </row>
    <row r="144" spans="3:23" x14ac:dyDescent="0.25">
      <c r="D144" s="10"/>
      <c r="E144" s="10"/>
      <c r="F144" s="10"/>
      <c r="G144" s="10"/>
      <c r="H144" s="10"/>
      <c r="I144" s="10"/>
      <c r="J144" s="10"/>
      <c r="K144" s="10"/>
      <c r="M144" s="10"/>
      <c r="N144" s="10"/>
      <c r="O144" s="10"/>
      <c r="P144" s="10"/>
    </row>
    <row r="145" spans="1:21" x14ac:dyDescent="0.25">
      <c r="D145" s="10"/>
      <c r="E145" s="10"/>
      <c r="F145" s="10"/>
      <c r="G145" s="10"/>
      <c r="H145" s="10"/>
      <c r="I145" s="10"/>
      <c r="J145" s="10"/>
      <c r="K145" s="10"/>
      <c r="M145" s="10"/>
      <c r="N145" s="10"/>
      <c r="O145" s="10"/>
      <c r="P145" s="10"/>
    </row>
    <row r="146" spans="1:21" x14ac:dyDescent="0.25">
      <c r="D146" s="10"/>
      <c r="E146" s="10"/>
      <c r="F146" s="10"/>
      <c r="G146" s="10"/>
      <c r="H146" s="10"/>
      <c r="I146" s="10"/>
      <c r="J146" s="10"/>
      <c r="K146" s="10"/>
      <c r="M146" s="10"/>
      <c r="N146" s="10"/>
      <c r="O146" s="10"/>
      <c r="P146" s="10"/>
    </row>
    <row r="147" spans="1:21" x14ac:dyDescent="0.25">
      <c r="D147" s="10"/>
      <c r="E147" s="10"/>
      <c r="F147" s="10"/>
      <c r="G147" s="10"/>
      <c r="H147" s="10"/>
      <c r="I147" s="10"/>
      <c r="J147" s="10"/>
      <c r="K147" s="10"/>
      <c r="M147" s="10"/>
      <c r="N147" s="10"/>
      <c r="O147" s="10"/>
      <c r="P147" s="10"/>
    </row>
    <row r="148" spans="1:21" x14ac:dyDescent="0.25">
      <c r="D148" s="10"/>
      <c r="E148" s="10"/>
      <c r="F148" s="10"/>
      <c r="G148" s="10"/>
      <c r="H148" s="10"/>
      <c r="I148" s="10"/>
      <c r="J148" s="10"/>
      <c r="K148" s="10"/>
      <c r="M148" s="10"/>
      <c r="N148" s="10"/>
      <c r="O148" s="10"/>
      <c r="P148" s="10"/>
    </row>
    <row r="149" spans="1:21" x14ac:dyDescent="0.25">
      <c r="D149" s="10"/>
      <c r="E149" s="10"/>
      <c r="F149" s="10"/>
      <c r="G149" s="10"/>
      <c r="H149" s="10"/>
      <c r="I149" s="10"/>
      <c r="J149" s="10"/>
      <c r="K149" s="10"/>
      <c r="M149" s="10"/>
      <c r="N149" s="10"/>
      <c r="O149" s="10"/>
      <c r="P149" s="10"/>
    </row>
    <row r="150" spans="1:21" x14ac:dyDescent="0.25">
      <c r="A150" s="10"/>
      <c r="B150" s="10"/>
      <c r="C150" s="10"/>
      <c r="D150" s="10"/>
      <c r="E150" s="10"/>
      <c r="F150" s="10"/>
      <c r="G150" s="10"/>
      <c r="H150" s="10"/>
      <c r="I150" s="10"/>
      <c r="J150" s="10"/>
      <c r="K150" s="10"/>
      <c r="L150" s="10"/>
      <c r="M150" s="10"/>
      <c r="N150" s="10"/>
      <c r="O150" s="10"/>
      <c r="P150" s="10"/>
      <c r="U150" s="10"/>
    </row>
  </sheetData>
  <mergeCells count="3">
    <mergeCell ref="T3:W3"/>
    <mergeCell ref="T4:W4"/>
    <mergeCell ref="R85:U85"/>
  </mergeCells>
  <pageMargins left="0.511811024" right="0.511811024" top="0.78740157499999996" bottom="0.78740157499999996" header="0.31496062000000002" footer="0.31496062000000002"/>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Info</vt:lpstr>
      <vt:lpstr>AgInputs</vt:lpstr>
      <vt:lpstr>Energy</vt:lpstr>
      <vt:lpstr>GHG</vt:lpstr>
      <vt:lpstr>Crop</vt:lpstr>
      <vt:lpstr>Energy!_ENREF_1</vt:lpstr>
      <vt:lpstr>Energy!_ENREF_2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Camargo</dc:creator>
  <cp:lastModifiedBy>Gustavo Camargo</cp:lastModifiedBy>
  <cp:lastPrinted>2009-04-30T17:05:31Z</cp:lastPrinted>
  <dcterms:created xsi:type="dcterms:W3CDTF">2008-07-25T20:19:36Z</dcterms:created>
  <dcterms:modified xsi:type="dcterms:W3CDTF">2012-12-05T18:12:56Z</dcterms:modified>
</cp:coreProperties>
</file>